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9540" tabRatio="593" activeTab="1"/>
  </bookViews>
  <sheets>
    <sheet name="detail" sheetId="1" r:id="rId1"/>
    <sheet name="payroll" sheetId="2" r:id="rId2"/>
    <sheet name="Web Expense Summary" sheetId="3" r:id="rId3"/>
    <sheet name="Web Revenue Summary" sheetId="4" r:id="rId4"/>
  </sheets>
  <definedNames>
    <definedName name="_xlnm.Print_Area" localSheetId="0">'detail'!$A$1:$V$20</definedName>
    <definedName name="_xlnm.Print_Area" localSheetId="1">'payroll'!$A$1:$AB$73</definedName>
    <definedName name="_xlnm.Print_Titles" localSheetId="0">'detail'!$1:$6</definedName>
  </definedNames>
  <calcPr fullCalcOnLoad="1"/>
</workbook>
</file>

<file path=xl/sharedStrings.xml><?xml version="1.0" encoding="utf-8"?>
<sst xmlns="http://schemas.openxmlformats.org/spreadsheetml/2006/main" count="316" uniqueCount="195">
  <si>
    <t>Year to</t>
  </si>
  <si>
    <t>Projected</t>
  </si>
  <si>
    <t>Total</t>
  </si>
  <si>
    <t>Net</t>
  </si>
  <si>
    <t>Expenditures:</t>
  </si>
  <si>
    <t>Adjusted</t>
  </si>
  <si>
    <t>Budget</t>
  </si>
  <si>
    <t>Date</t>
  </si>
  <si>
    <t>Expenditure</t>
  </si>
  <si>
    <t>Exp to</t>
  </si>
  <si>
    <t>YTD and</t>
  </si>
  <si>
    <t>Balance</t>
  </si>
  <si>
    <t>Revenue:</t>
  </si>
  <si>
    <t>Revenue</t>
  </si>
  <si>
    <t>Revenue to</t>
  </si>
  <si>
    <t>Under/(Over)</t>
  </si>
  <si>
    <t>Org/Object</t>
  </si>
  <si>
    <t>Description</t>
  </si>
  <si>
    <t>Revision</t>
  </si>
  <si>
    <t>Activity</t>
  </si>
  <si>
    <t>Reservat'ns</t>
  </si>
  <si>
    <t>Adjustments</t>
  </si>
  <si>
    <t>Year End</t>
  </si>
  <si>
    <t>Projections</t>
  </si>
  <si>
    <t>at Year End</t>
  </si>
  <si>
    <t>Pers Svcs</t>
  </si>
  <si>
    <t>Tuition</t>
  </si>
  <si>
    <t>Benefits</t>
  </si>
  <si>
    <t>Lab Fees</t>
  </si>
  <si>
    <t>Travel</t>
  </si>
  <si>
    <t>Gen Fund</t>
  </si>
  <si>
    <t>Contr Svcs</t>
  </si>
  <si>
    <t>UA Receipts</t>
  </si>
  <si>
    <t>Commdty</t>
  </si>
  <si>
    <t>Aux Receipts</t>
  </si>
  <si>
    <t>Resale</t>
  </si>
  <si>
    <t>Interest Income</t>
  </si>
  <si>
    <t>Equipment</t>
  </si>
  <si>
    <t>Overhead</t>
  </si>
  <si>
    <t>Fin Aid</t>
  </si>
  <si>
    <t>Intra Agency Rcpt</t>
  </si>
  <si>
    <t>CIP Receipts</t>
  </si>
  <si>
    <t>Misc</t>
  </si>
  <si>
    <t>Other  93/94/95/98</t>
  </si>
  <si>
    <t>TOTAL</t>
  </si>
  <si>
    <t>PAYROLL PROJECTION SUMMARY</t>
  </si>
  <si>
    <t xml:space="preserve">  Benefit Type</t>
  </si>
  <si>
    <t>ECLS Codes</t>
  </si>
  <si>
    <t>Leave and Benefit Rates</t>
  </si>
  <si>
    <t xml:space="preserve">  Annual</t>
  </si>
  <si>
    <t>Sick</t>
  </si>
  <si>
    <t>Holiday</t>
  </si>
  <si>
    <t xml:space="preserve">Staff </t>
  </si>
  <si>
    <t>Current as of:</t>
  </si>
  <si>
    <t xml:space="preserve">   0 = Classified</t>
  </si>
  <si>
    <t>NR</t>
  </si>
  <si>
    <t>Code</t>
  </si>
  <si>
    <t>Category</t>
  </si>
  <si>
    <t xml:space="preserve"> </t>
  </si>
  <si>
    <t>Leave</t>
  </si>
  <si>
    <t xml:space="preserve">   1 = Classified Union</t>
  </si>
  <si>
    <t>CR</t>
  </si>
  <si>
    <t>Data thru LD#</t>
  </si>
  <si>
    <t xml:space="preserve">   2 = APT (Exempt)</t>
  </si>
  <si>
    <t>XR</t>
  </si>
  <si>
    <t xml:space="preserve">  Classified</t>
  </si>
  <si>
    <t>LD Date is</t>
  </si>
  <si>
    <t xml:space="preserve">   3 = Extended Temporary</t>
  </si>
  <si>
    <t xml:space="preserve">  Classified Union</t>
  </si>
  <si>
    <t xml:space="preserve">   4 = Executive</t>
  </si>
  <si>
    <t>EX</t>
  </si>
  <si>
    <t xml:space="preserve">  APT (Exempt)</t>
  </si>
  <si>
    <t xml:space="preserve">   5 = Faculty, UNAC</t>
  </si>
  <si>
    <t xml:space="preserve">  Extended Temporary</t>
  </si>
  <si>
    <t>A9/AR</t>
  </si>
  <si>
    <t xml:space="preserve">  Executive</t>
  </si>
  <si>
    <t xml:space="preserve">  Faculty, UNAC</t>
  </si>
  <si>
    <t xml:space="preserve">  Student Taxable</t>
  </si>
  <si>
    <t xml:space="preserve">  Students non-taxable</t>
  </si>
  <si>
    <t>Org # &amp; Org title</t>
  </si>
  <si>
    <t>Hrs</t>
  </si>
  <si>
    <t>Days</t>
  </si>
  <si>
    <t>Hourly</t>
  </si>
  <si>
    <t>Benefit</t>
  </si>
  <si>
    <t>Beg</t>
  </si>
  <si>
    <t>Stop</t>
  </si>
  <si>
    <t>Per</t>
  </si>
  <si>
    <t>Holi-</t>
  </si>
  <si>
    <t>Per-</t>
  </si>
  <si>
    <t>Days of</t>
  </si>
  <si>
    <t>Gross</t>
  </si>
  <si>
    <t>Annual</t>
  </si>
  <si>
    <t>Name</t>
  </si>
  <si>
    <t>Wage</t>
  </si>
  <si>
    <t>Obj</t>
  </si>
  <si>
    <t>PCN</t>
  </si>
  <si>
    <t>Type</t>
  </si>
  <si>
    <t>Day</t>
  </si>
  <si>
    <t>Contract</t>
  </si>
  <si>
    <t>Rem</t>
  </si>
  <si>
    <t>day</t>
  </si>
  <si>
    <t>sonal</t>
  </si>
  <si>
    <t>Other</t>
  </si>
  <si>
    <t>Earnings</t>
  </si>
  <si>
    <t>Salary</t>
  </si>
  <si>
    <t>Labor</t>
  </si>
  <si>
    <t>_</t>
  </si>
  <si>
    <t>Subtotal: Permanent Positions and Committed Pool Labor</t>
  </si>
  <si>
    <t>=</t>
  </si>
  <si>
    <t>Leave/Benefit</t>
  </si>
  <si>
    <t>Rate</t>
  </si>
  <si>
    <t>-</t>
  </si>
  <si>
    <t>Pool Labor Projections:</t>
  </si>
  <si>
    <t>Adjunct Faculty</t>
  </si>
  <si>
    <t xml:space="preserve">Classified Overtime    </t>
  </si>
  <si>
    <t xml:space="preserve">Temporary Non-Students    </t>
  </si>
  <si>
    <t xml:space="preserve">Temporary Students    </t>
  </si>
  <si>
    <t>None</t>
  </si>
  <si>
    <t>TOTAL PAYROLL PROJECTIONS</t>
  </si>
  <si>
    <t xml:space="preserve">  </t>
  </si>
  <si>
    <t>Start</t>
  </si>
  <si>
    <t>End</t>
  </si>
  <si>
    <t>Holidays</t>
  </si>
  <si>
    <t>\P</t>
  </si>
  <si>
    <t>/wchL1~/WCHQ1~</t>
  </si>
  <si>
    <t>\P M128..M130</t>
  </si>
  <si>
    <t>LD#</t>
  </si>
  <si>
    <t>Remaining</t>
  </si>
  <si>
    <t>/ppos{esc}\015\143~qagpq</t>
  </si>
  <si>
    <t>/wcda1..bj1~</t>
  </si>
  <si>
    <t>\A</t>
  </si>
  <si>
    <t>\A M132..M133</t>
  </si>
  <si>
    <t>\I</t>
  </si>
  <si>
    <t>/WGPD</t>
  </si>
  <si>
    <t>/WIR~</t>
  </si>
  <si>
    <t>{UP}{END}{LEFT}/C{END}{RIGHT 25}~</t>
  </si>
  <si>
    <t>{DOWN}~</t>
  </si>
  <si>
    <t>{DOWN}</t>
  </si>
  <si>
    <t>/RE{RIGHT 7}~</t>
  </si>
  <si>
    <t>/WGPE</t>
  </si>
  <si>
    <t>a1</t>
  </si>
  <si>
    <t>\D</t>
  </si>
  <si>
    <t>/rfd~~@date({?})~</t>
  </si>
  <si>
    <t xml:space="preserve"> Faculty, UNAC</t>
  </si>
  <si>
    <t xml:space="preserve">  Faculty-Temp represented</t>
  </si>
  <si>
    <t>NX/XX</t>
  </si>
  <si>
    <t>F9</t>
  </si>
  <si>
    <t xml:space="preserve">   8 = Faculty temp represented</t>
  </si>
  <si>
    <t>FT/FW</t>
  </si>
  <si>
    <t xml:space="preserve">  10 = Student Taxable</t>
  </si>
  <si>
    <t xml:space="preserve">   9 = Temporary</t>
  </si>
  <si>
    <t xml:space="preserve">  11 = Students non-taxable</t>
  </si>
  <si>
    <t xml:space="preserve">  Temporary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</si>
  <si>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</si>
  <si>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</si>
  <si>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</si>
  <si>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</si>
  <si>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</si>
  <si>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</si>
  <si>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</si>
  <si>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</si>
  <si>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</si>
  <si>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</si>
  <si>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</si>
  <si>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</si>
  <si>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</si>
  <si>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</si>
  <si>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Level 5 Org</t>
  </si>
  <si>
    <t>Fund</t>
  </si>
  <si>
    <t>Level 3 Program</t>
  </si>
  <si>
    <t>Org</t>
  </si>
  <si>
    <t>Account Type Title</t>
  </si>
  <si>
    <t>Expended</t>
  </si>
  <si>
    <t>Encum</t>
  </si>
  <si>
    <t>Current</t>
  </si>
  <si>
    <t>YTD</t>
  </si>
  <si>
    <t xml:space="preserve">Org </t>
  </si>
  <si>
    <t>Title</t>
  </si>
  <si>
    <t xml:space="preserve">   7 = Faculty non-represented 12 mo</t>
  </si>
  <si>
    <t>FR</t>
  </si>
  <si>
    <t xml:space="preserve">   12 = Faculty non-represented &lt;12 mo</t>
  </si>
  <si>
    <t>FN</t>
  </si>
  <si>
    <t xml:space="preserve">  Faculty non-rep 12 mo</t>
  </si>
  <si>
    <t xml:space="preserve">  Faculty non-rep &lt;12 mo</t>
  </si>
  <si>
    <t xml:space="preserve">   6 = Faculty, UAFT</t>
  </si>
  <si>
    <t xml:space="preserve">  Faculty, UAFT</t>
  </si>
  <si>
    <t xml:space="preserve"> Faculty, UAFT</t>
  </si>
  <si>
    <t>SN/GN</t>
  </si>
  <si>
    <t>ECLS</t>
  </si>
  <si>
    <t>for the pay period ending</t>
  </si>
  <si>
    <t>Department Name (input to cell K1 on detail tab)</t>
  </si>
  <si>
    <t>FY18 Management Report Detail</t>
  </si>
  <si>
    <t>A9</t>
  </si>
  <si>
    <t>CT/NT/XT</t>
  </si>
  <si>
    <t>ST/GT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</si>
</sst>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hh:mm\ AM/PM_)"/>
    <numFmt numFmtId="168" formatCode="0.000_)"/>
    <numFmt numFmtId="169" formatCode="0.0000_)"/>
    <numFmt numFmtId="170" formatCode="0_)"/>
    <numFmt numFmtId="171" formatCode=";;;"/>
    <numFmt numFmtId="172" formatCode="0.00_)"/>
    <numFmt numFmtId="173" formatCode="0_);\(0\)"/>
    <numFmt numFmtId="174" formatCode="_(* #,##0.000_);_(* \(#,##0.000\);_(* &quot;-&quot;???_);_(@_)"/>
    <numFmt numFmtId="175" formatCode="_(* #,##0.0000_);_(* \(#,##0.0000\);_(* &quot;-&quot;???_);_(@_)"/>
    <numFmt numFmtId="176" formatCode="mm/dd/yy"/>
    <numFmt numFmtId="177" formatCode="m/d"/>
    <numFmt numFmtId="178" formatCode="mmmm\ d\,\ yyyy"/>
    <numFmt numFmtId="179" formatCode="&quot;$&quot;#,##0.00"/>
    <numFmt numFmtId="180" formatCode="[$-409]dddd\,\ mmmm\ dd\,\ yyyy"/>
    <numFmt numFmtId="181" formatCode="[$-409]h:mm:ss\ AM/P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sz val="12"/>
      <color indexed="3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fill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168" fontId="11" fillId="0" borderId="0" xfId="0" applyNumberFormat="1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fill"/>
      <protection locked="0"/>
    </xf>
    <xf numFmtId="171" fontId="11" fillId="0" borderId="0" xfId="0" applyNumberFormat="1" applyFont="1" applyAlignment="1" applyProtection="1">
      <alignment/>
      <protection locked="0"/>
    </xf>
    <xf numFmtId="17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fill"/>
      <protection locked="0"/>
    </xf>
    <xf numFmtId="0" fontId="12" fillId="0" borderId="0" xfId="0" applyFont="1" applyBorder="1" applyAlignment="1" applyProtection="1">
      <alignment horizontal="fill"/>
      <protection locked="0"/>
    </xf>
    <xf numFmtId="0" fontId="12" fillId="0" borderId="13" xfId="0" applyFont="1" applyBorder="1" applyAlignment="1" applyProtection="1">
      <alignment horizontal="fill"/>
      <protection locked="0"/>
    </xf>
    <xf numFmtId="7" fontId="12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/>
      <protection locked="0"/>
    </xf>
    <xf numFmtId="168" fontId="12" fillId="0" borderId="0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 horizontal="fill"/>
      <protection locked="0"/>
    </xf>
    <xf numFmtId="170" fontId="12" fillId="0" borderId="0" xfId="0" applyNumberFormat="1" applyFont="1" applyBorder="1" applyAlignment="1" applyProtection="1">
      <alignment horizontal="left"/>
      <protection locked="0"/>
    </xf>
    <xf numFmtId="37" fontId="12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41" fontId="9" fillId="0" borderId="0" xfId="43" applyFont="1" applyBorder="1" applyAlignment="1">
      <alignment/>
    </xf>
    <xf numFmtId="0" fontId="12" fillId="0" borderId="14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fill"/>
      <protection locked="0"/>
    </xf>
    <xf numFmtId="0" fontId="12" fillId="0" borderId="16" xfId="0" applyFont="1" applyBorder="1" applyAlignment="1" applyProtection="1">
      <alignment horizontal="fill"/>
      <protection locked="0"/>
    </xf>
    <xf numFmtId="0" fontId="12" fillId="0" borderId="17" xfId="0" applyFont="1" applyBorder="1" applyAlignment="1" applyProtection="1">
      <alignment horizontal="left"/>
      <protection locked="0"/>
    </xf>
    <xf numFmtId="167" fontId="12" fillId="0" borderId="13" xfId="0" applyNumberFormat="1" applyFont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centerContinuous"/>
      <protection locked="0"/>
    </xf>
    <xf numFmtId="0" fontId="0" fillId="33" borderId="15" xfId="0" applyFill="1" applyBorder="1" applyAlignment="1">
      <alignment horizontal="centerContinuous"/>
    </xf>
    <xf numFmtId="0" fontId="12" fillId="33" borderId="15" xfId="0" applyFont="1" applyFill="1" applyBorder="1" applyAlignment="1" applyProtection="1">
      <alignment horizontal="centerContinuous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8" xfId="0" applyFont="1" applyFill="1" applyBorder="1" applyAlignment="1" applyProtection="1">
      <alignment horizontal="center"/>
      <protection locked="0"/>
    </xf>
    <xf numFmtId="166" fontId="12" fillId="33" borderId="18" xfId="0" applyNumberFormat="1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 horizontal="right"/>
      <protection locked="0"/>
    </xf>
    <xf numFmtId="0" fontId="12" fillId="33" borderId="18" xfId="0" applyFont="1" applyFill="1" applyBorder="1" applyAlignment="1" applyProtection="1">
      <alignment horizontal="fill"/>
      <protection locked="0"/>
    </xf>
    <xf numFmtId="0" fontId="12" fillId="33" borderId="19" xfId="0" applyFont="1" applyFill="1" applyBorder="1" applyAlignment="1" applyProtection="1">
      <alignment horizontal="fill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 quotePrefix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 quotePrefix="1">
      <alignment horizontal="left"/>
      <protection locked="0"/>
    </xf>
    <xf numFmtId="17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41" fontId="9" fillId="0" borderId="0" xfId="43" applyFont="1" applyBorder="1" applyAlignment="1" applyProtection="1">
      <alignment/>
      <protection/>
    </xf>
    <xf numFmtId="41" fontId="9" fillId="0" borderId="13" xfId="43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centerContinuous"/>
      <protection/>
    </xf>
    <xf numFmtId="0" fontId="12" fillId="33" borderId="21" xfId="0" applyFont="1" applyFill="1" applyBorder="1" applyAlignment="1" applyProtection="1">
      <alignment horizontal="centerContinuous"/>
      <protection/>
    </xf>
    <xf numFmtId="0" fontId="12" fillId="33" borderId="22" xfId="0" applyFont="1" applyFill="1" applyBorder="1" applyAlignment="1" applyProtection="1">
      <alignment horizontal="centerContinuous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Continuous"/>
      <protection/>
    </xf>
    <xf numFmtId="0" fontId="12" fillId="33" borderId="15" xfId="0" applyFont="1" applyFill="1" applyBorder="1" applyAlignment="1" applyProtection="1">
      <alignment horizontal="centerContinuous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left"/>
      <protection/>
    </xf>
    <xf numFmtId="171" fontId="5" fillId="0" borderId="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175" fontId="12" fillId="0" borderId="12" xfId="0" applyNumberFormat="1" applyFont="1" applyBorder="1" applyAlignment="1" applyProtection="1">
      <alignment/>
      <protection/>
    </xf>
    <xf numFmtId="175" fontId="12" fillId="0" borderId="23" xfId="0" applyNumberFormat="1" applyFont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 horizontal="centerContinuous"/>
      <protection locked="0"/>
    </xf>
    <xf numFmtId="0" fontId="12" fillId="0" borderId="19" xfId="0" applyFont="1" applyBorder="1" applyAlignment="1" applyProtection="1">
      <alignment horizontal="fill"/>
      <protection locked="0"/>
    </xf>
    <xf numFmtId="0" fontId="12" fillId="0" borderId="12" xfId="0" applyFont="1" applyBorder="1" applyAlignment="1" applyProtection="1">
      <alignment horizontal="centerContinuous"/>
      <protection/>
    </xf>
    <xf numFmtId="0" fontId="12" fillId="0" borderId="13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43" fontId="4" fillId="0" borderId="0" xfId="0" applyNumberFormat="1" applyFont="1" applyAlignment="1">
      <alignment/>
    </xf>
    <xf numFmtId="176" fontId="12" fillId="0" borderId="19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175" fontId="12" fillId="0" borderId="14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fill"/>
      <protection locked="0"/>
    </xf>
    <xf numFmtId="169" fontId="12" fillId="0" borderId="24" xfId="0" applyNumberFormat="1" applyFont="1" applyBorder="1" applyAlignment="1" applyProtection="1">
      <alignment/>
      <protection locked="0"/>
    </xf>
    <xf numFmtId="37" fontId="53" fillId="0" borderId="0" xfId="0" applyNumberFormat="1" applyFont="1" applyBorder="1" applyAlignment="1" applyProtection="1">
      <alignment/>
      <protection/>
    </xf>
    <xf numFmtId="37" fontId="53" fillId="0" borderId="13" xfId="0" applyNumberFormat="1" applyFont="1" applyBorder="1" applyAlignment="1" applyProtection="1">
      <alignment/>
      <protection/>
    </xf>
    <xf numFmtId="37" fontId="53" fillId="0" borderId="0" xfId="0" applyNumberFormat="1" applyFont="1" applyBorder="1" applyAlignment="1" applyProtection="1">
      <alignment horizontal="fill"/>
      <protection/>
    </xf>
    <xf numFmtId="37" fontId="53" fillId="0" borderId="13" xfId="0" applyNumberFormat="1" applyFont="1" applyBorder="1" applyAlignment="1" applyProtection="1">
      <alignment horizontal="fill"/>
      <protection/>
    </xf>
    <xf numFmtId="37" fontId="5" fillId="0" borderId="0" xfId="0" applyNumberFormat="1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/>
      <protection/>
    </xf>
    <xf numFmtId="170" fontId="53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 horizontal="fill"/>
      <protection locked="0"/>
    </xf>
    <xf numFmtId="170" fontId="53" fillId="0" borderId="13" xfId="0" applyNumberFormat="1" applyFont="1" applyBorder="1" applyAlignment="1" applyProtection="1">
      <alignment horizontal="fill"/>
      <protection locked="0"/>
    </xf>
    <xf numFmtId="170" fontId="5" fillId="0" borderId="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5" fontId="53" fillId="0" borderId="16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54" fillId="0" borderId="0" xfId="0" applyFont="1" applyAlignment="1">
      <alignment/>
    </xf>
    <xf numFmtId="165" fontId="4" fillId="0" borderId="10" xfId="42" applyNumberFormat="1" applyFont="1" applyBorder="1" applyAlignment="1" applyProtection="1">
      <alignment/>
      <protection locked="0"/>
    </xf>
    <xf numFmtId="165" fontId="4" fillId="33" borderId="10" xfId="42" applyNumberFormat="1" applyFont="1" applyFill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175" fontId="12" fillId="0" borderId="24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173" fontId="12" fillId="0" borderId="12" xfId="0" applyNumberFormat="1" applyFont="1" applyBorder="1" applyAlignment="1" applyProtection="1">
      <alignment horizontal="center"/>
      <protection/>
    </xf>
    <xf numFmtId="173" fontId="12" fillId="0" borderId="14" xfId="0" applyNumberFormat="1" applyFont="1" applyBorder="1" applyAlignment="1" applyProtection="1">
      <alignment horizontal="center"/>
      <protection/>
    </xf>
    <xf numFmtId="15" fontId="18" fillId="0" borderId="0" xfId="0" applyNumberFormat="1" applyFont="1" applyFill="1" applyAlignment="1" applyProtection="1">
      <alignment horizontal="right"/>
      <protection locked="0"/>
    </xf>
    <xf numFmtId="0" fontId="55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4" fillId="0" borderId="10" xfId="42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25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10" xfId="42" applyNumberFormat="1" applyFont="1" applyBorder="1" applyAlignment="1" applyProtection="1">
      <alignment/>
      <protection locked="0"/>
    </xf>
    <xf numFmtId="165" fontId="9" fillId="0" borderId="10" xfId="42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65" fontId="9" fillId="0" borderId="10" xfId="42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175" fontId="12" fillId="0" borderId="12" xfId="0" applyNumberFormat="1" applyFont="1" applyFill="1" applyBorder="1" applyAlignment="1" applyProtection="1">
      <alignment/>
      <protection/>
    </xf>
    <xf numFmtId="174" fontId="12" fillId="0" borderId="12" xfId="0" applyNumberFormat="1" applyFont="1" applyFill="1" applyBorder="1" applyAlignment="1" applyProtection="1">
      <alignment/>
      <protection/>
    </xf>
    <xf numFmtId="175" fontId="12" fillId="0" borderId="23" xfId="0" applyNumberFormat="1" applyFont="1" applyFill="1" applyBorder="1" applyAlignment="1" applyProtection="1">
      <alignment/>
      <protection/>
    </xf>
    <xf numFmtId="175" fontId="12" fillId="0" borderId="12" xfId="0" applyNumberFormat="1" applyFont="1" applyFill="1" applyBorder="1" applyAlignment="1" applyProtection="1" quotePrefix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workbookViewId="0" topLeftCell="A1">
      <selection activeCell="V3" sqref="V3"/>
    </sheetView>
  </sheetViews>
  <sheetFormatPr defaultColWidth="9.140625" defaultRowHeight="12.75"/>
  <cols>
    <col min="1" max="1" width="7.7109375" style="0" customWidth="1"/>
    <col min="2" max="2" width="13.7109375" style="0" customWidth="1"/>
    <col min="11" max="11" width="3.7109375" style="0" customWidth="1"/>
    <col min="12" max="12" width="7.7109375" style="0" customWidth="1"/>
    <col min="13" max="13" width="13.7109375" style="0" customWidth="1"/>
    <col min="21" max="21" width="1.7109375" style="0" customWidth="1"/>
    <col min="22" max="22" width="9.421875" style="0" customWidth="1"/>
  </cols>
  <sheetData>
    <row r="1" ht="15.75">
      <c r="K1" s="167" t="s">
        <v>190</v>
      </c>
    </row>
    <row r="2" spans="9:13" ht="15.75">
      <c r="I2" s="159"/>
      <c r="J2" s="159"/>
      <c r="K2" s="153" t="s">
        <v>191</v>
      </c>
      <c r="L2" s="159"/>
      <c r="M2" s="159"/>
    </row>
    <row r="3" spans="20:22" s="2" customFormat="1" ht="12.75">
      <c r="T3" s="160" t="s">
        <v>189</v>
      </c>
      <c r="V3" s="166">
        <f>payroll!B9</f>
        <v>42924</v>
      </c>
    </row>
    <row r="4" spans="1:23" s="154" customFormat="1" ht="12.75">
      <c r="A4" s="169"/>
      <c r="B4" s="170"/>
      <c r="C4" s="169"/>
      <c r="D4" s="169"/>
      <c r="E4" s="169" t="s">
        <v>0</v>
      </c>
      <c r="F4" s="169"/>
      <c r="G4" s="169"/>
      <c r="H4" s="169" t="s">
        <v>1</v>
      </c>
      <c r="I4" s="169" t="s">
        <v>2</v>
      </c>
      <c r="J4" s="169" t="s">
        <v>1</v>
      </c>
      <c r="K4" s="171"/>
      <c r="L4" s="169"/>
      <c r="M4" s="170"/>
      <c r="N4" s="169"/>
      <c r="O4" s="169"/>
      <c r="P4" s="169" t="s">
        <v>0</v>
      </c>
      <c r="Q4" s="169"/>
      <c r="R4" s="169" t="s">
        <v>1</v>
      </c>
      <c r="S4" s="169" t="s">
        <v>2</v>
      </c>
      <c r="T4" s="169" t="s">
        <v>1</v>
      </c>
      <c r="U4" s="171"/>
      <c r="V4" s="172" t="s">
        <v>3</v>
      </c>
      <c r="W4" s="173"/>
    </row>
    <row r="5" spans="1:23" s="154" customFormat="1" ht="12.75">
      <c r="A5" s="174" t="s">
        <v>4</v>
      </c>
      <c r="B5" s="175"/>
      <c r="C5" s="176" t="s">
        <v>5</v>
      </c>
      <c r="D5" s="176" t="s">
        <v>6</v>
      </c>
      <c r="E5" s="176" t="s">
        <v>7</v>
      </c>
      <c r="F5" s="176" t="s">
        <v>6</v>
      </c>
      <c r="G5" s="176" t="s">
        <v>8</v>
      </c>
      <c r="H5" s="176" t="s">
        <v>9</v>
      </c>
      <c r="I5" s="176" t="s">
        <v>10</v>
      </c>
      <c r="J5" s="176" t="s">
        <v>11</v>
      </c>
      <c r="K5" s="177"/>
      <c r="L5" s="174" t="s">
        <v>12</v>
      </c>
      <c r="M5" s="175"/>
      <c r="N5" s="176" t="s">
        <v>5</v>
      </c>
      <c r="O5" s="176" t="s">
        <v>6</v>
      </c>
      <c r="P5" s="176" t="s">
        <v>7</v>
      </c>
      <c r="Q5" s="176" t="s">
        <v>13</v>
      </c>
      <c r="R5" s="176" t="s">
        <v>14</v>
      </c>
      <c r="S5" s="176" t="s">
        <v>10</v>
      </c>
      <c r="T5" s="176" t="s">
        <v>11</v>
      </c>
      <c r="U5" s="177"/>
      <c r="V5" s="178" t="s">
        <v>15</v>
      </c>
      <c r="W5" s="173"/>
    </row>
    <row r="6" spans="1:23" s="154" customFormat="1" ht="12.75">
      <c r="A6" s="179" t="s">
        <v>16</v>
      </c>
      <c r="B6" s="180" t="s">
        <v>17</v>
      </c>
      <c r="C6" s="179" t="s">
        <v>6</v>
      </c>
      <c r="D6" s="179" t="s">
        <v>18</v>
      </c>
      <c r="E6" s="179" t="s">
        <v>19</v>
      </c>
      <c r="F6" s="179" t="s">
        <v>20</v>
      </c>
      <c r="G6" s="179" t="s">
        <v>21</v>
      </c>
      <c r="H6" s="179" t="s">
        <v>22</v>
      </c>
      <c r="I6" s="179" t="s">
        <v>23</v>
      </c>
      <c r="J6" s="179" t="s">
        <v>24</v>
      </c>
      <c r="K6" s="181"/>
      <c r="L6" s="179" t="s">
        <v>16</v>
      </c>
      <c r="M6" s="180" t="s">
        <v>17</v>
      </c>
      <c r="N6" s="179" t="s">
        <v>6</v>
      </c>
      <c r="O6" s="179" t="s">
        <v>18</v>
      </c>
      <c r="P6" s="179" t="s">
        <v>19</v>
      </c>
      <c r="Q6" s="179" t="s">
        <v>21</v>
      </c>
      <c r="R6" s="179" t="s">
        <v>22</v>
      </c>
      <c r="S6" s="179" t="s">
        <v>23</v>
      </c>
      <c r="T6" s="179" t="s">
        <v>24</v>
      </c>
      <c r="U6" s="181"/>
      <c r="V6" s="182" t="s">
        <v>6</v>
      </c>
      <c r="W6" s="173"/>
    </row>
    <row r="7" spans="1:23" ht="12.75">
      <c r="A7" s="7" t="s">
        <v>176</v>
      </c>
      <c r="B7" s="9" t="s">
        <v>177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183"/>
      <c r="O7" s="183"/>
      <c r="P7" s="183"/>
      <c r="Q7" s="183"/>
      <c r="R7" s="183"/>
      <c r="S7" s="183"/>
      <c r="T7" s="183"/>
      <c r="U7" s="183"/>
      <c r="V7" s="185"/>
      <c r="W7" s="173"/>
    </row>
    <row r="8" spans="1:23" s="154" customFormat="1" ht="12.75">
      <c r="A8" s="4">
        <v>1000</v>
      </c>
      <c r="B8" s="168" t="s">
        <v>25</v>
      </c>
      <c r="C8" s="155"/>
      <c r="D8" s="155"/>
      <c r="E8" s="155"/>
      <c r="F8" s="155"/>
      <c r="G8" s="155"/>
      <c r="H8" s="156">
        <f>+payroll!Z70</f>
        <v>0</v>
      </c>
      <c r="I8" s="186">
        <f>SUM(E8:H8)</f>
        <v>0</v>
      </c>
      <c r="J8" s="186">
        <f>+C8+D8-I8</f>
        <v>0</v>
      </c>
      <c r="K8" s="183"/>
      <c r="L8" s="5">
        <v>9100</v>
      </c>
      <c r="M8" s="168" t="s">
        <v>26</v>
      </c>
      <c r="N8" s="187"/>
      <c r="O8" s="187"/>
      <c r="P8" s="187"/>
      <c r="Q8" s="187"/>
      <c r="R8" s="187"/>
      <c r="S8" s="6">
        <f>SUM(P8:R8)</f>
        <v>0</v>
      </c>
      <c r="T8" s="6">
        <f>+N8+O8-S8</f>
        <v>0</v>
      </c>
      <c r="U8" s="183"/>
      <c r="V8" s="185"/>
      <c r="W8" s="173"/>
    </row>
    <row r="9" spans="1:23" s="154" customFormat="1" ht="12.75">
      <c r="A9" s="4">
        <v>1900</v>
      </c>
      <c r="B9" s="168" t="s">
        <v>27</v>
      </c>
      <c r="C9" s="155"/>
      <c r="D9" s="155"/>
      <c r="E9" s="155"/>
      <c r="F9" s="155"/>
      <c r="G9" s="155"/>
      <c r="H9" s="156">
        <f>+payroll!AA70</f>
        <v>0</v>
      </c>
      <c r="I9" s="186">
        <f aca="true" t="shared" si="0" ref="I9:I17">SUM(E9:H9)</f>
        <v>0</v>
      </c>
      <c r="J9" s="186">
        <f aca="true" t="shared" si="1" ref="J9:J17">+C9+D9-I9</f>
        <v>0</v>
      </c>
      <c r="K9" s="183"/>
      <c r="L9" s="5">
        <v>9150</v>
      </c>
      <c r="M9" s="168" t="s">
        <v>28</v>
      </c>
      <c r="N9" s="187"/>
      <c r="O9" s="187"/>
      <c r="P9" s="187"/>
      <c r="Q9" s="187"/>
      <c r="R9" s="187"/>
      <c r="S9" s="6">
        <f aca="true" t="shared" si="2" ref="S9:S17">SUM(P9:R9)</f>
        <v>0</v>
      </c>
      <c r="T9" s="6">
        <f aca="true" t="shared" si="3" ref="T9:T17">+N9+O9-S9</f>
        <v>0</v>
      </c>
      <c r="U9" s="183"/>
      <c r="V9" s="185"/>
      <c r="W9" s="173"/>
    </row>
    <row r="10" spans="1:23" s="154" customFormat="1" ht="12.75">
      <c r="A10" s="4">
        <v>2000</v>
      </c>
      <c r="B10" s="168" t="s">
        <v>29</v>
      </c>
      <c r="C10" s="155"/>
      <c r="D10" s="155"/>
      <c r="E10" s="155"/>
      <c r="F10" s="155"/>
      <c r="G10" s="155"/>
      <c r="H10" s="155"/>
      <c r="I10" s="186">
        <f t="shared" si="0"/>
        <v>0</v>
      </c>
      <c r="J10" s="186">
        <f t="shared" si="1"/>
        <v>0</v>
      </c>
      <c r="K10" s="183"/>
      <c r="L10" s="5">
        <v>9210</v>
      </c>
      <c r="M10" s="168" t="s">
        <v>30</v>
      </c>
      <c r="N10" s="187"/>
      <c r="O10" s="187"/>
      <c r="P10" s="187"/>
      <c r="Q10" s="187"/>
      <c r="R10" s="187"/>
      <c r="S10" s="6">
        <f t="shared" si="2"/>
        <v>0</v>
      </c>
      <c r="T10" s="6">
        <f t="shared" si="3"/>
        <v>0</v>
      </c>
      <c r="U10" s="183"/>
      <c r="V10" s="185"/>
      <c r="W10" s="173"/>
    </row>
    <row r="11" spans="1:23" s="154" customFormat="1" ht="12.75">
      <c r="A11" s="4">
        <v>3000</v>
      </c>
      <c r="B11" s="168" t="s">
        <v>31</v>
      </c>
      <c r="C11" s="155"/>
      <c r="D11" s="155"/>
      <c r="E11" s="155"/>
      <c r="F11" s="155"/>
      <c r="G11" s="155"/>
      <c r="H11" s="155"/>
      <c r="I11" s="186">
        <f t="shared" si="0"/>
        <v>0</v>
      </c>
      <c r="J11" s="186">
        <f t="shared" si="1"/>
        <v>0</v>
      </c>
      <c r="K11" s="183"/>
      <c r="L11" s="5">
        <v>9600</v>
      </c>
      <c r="M11" s="168" t="s">
        <v>32</v>
      </c>
      <c r="N11" s="187"/>
      <c r="O11" s="187"/>
      <c r="P11" s="187"/>
      <c r="Q11" s="187"/>
      <c r="R11" s="187"/>
      <c r="S11" s="6">
        <f t="shared" si="2"/>
        <v>0</v>
      </c>
      <c r="T11" s="6">
        <f t="shared" si="3"/>
        <v>0</v>
      </c>
      <c r="U11" s="183"/>
      <c r="V11" s="185"/>
      <c r="W11" s="173"/>
    </row>
    <row r="12" spans="1:23" s="154" customFormat="1" ht="12.75">
      <c r="A12" s="4">
        <v>4000</v>
      </c>
      <c r="B12" s="168" t="s">
        <v>33</v>
      </c>
      <c r="C12" s="155"/>
      <c r="D12" s="155"/>
      <c r="E12" s="155"/>
      <c r="F12" s="155"/>
      <c r="G12" s="155"/>
      <c r="H12" s="155"/>
      <c r="I12" s="186">
        <f t="shared" si="0"/>
        <v>0</v>
      </c>
      <c r="J12" s="186">
        <f t="shared" si="1"/>
        <v>0</v>
      </c>
      <c r="K12" s="183"/>
      <c r="L12" s="5">
        <v>9700</v>
      </c>
      <c r="M12" s="168" t="s">
        <v>34</v>
      </c>
      <c r="N12" s="187"/>
      <c r="O12" s="187"/>
      <c r="P12" s="187"/>
      <c r="Q12" s="187"/>
      <c r="R12" s="187"/>
      <c r="S12" s="6">
        <f t="shared" si="2"/>
        <v>0</v>
      </c>
      <c r="T12" s="6">
        <f t="shared" si="3"/>
        <v>0</v>
      </c>
      <c r="U12" s="183"/>
      <c r="V12" s="185"/>
      <c r="W12" s="173"/>
    </row>
    <row r="13" spans="1:23" s="154" customFormat="1" ht="12.75">
      <c r="A13" s="4">
        <v>4500</v>
      </c>
      <c r="B13" s="168" t="s">
        <v>35</v>
      </c>
      <c r="C13" s="155"/>
      <c r="D13" s="155"/>
      <c r="E13" s="155"/>
      <c r="F13" s="155"/>
      <c r="G13" s="155"/>
      <c r="H13" s="155"/>
      <c r="I13" s="186">
        <f t="shared" si="0"/>
        <v>0</v>
      </c>
      <c r="J13" s="186">
        <f t="shared" si="1"/>
        <v>0</v>
      </c>
      <c r="K13" s="183"/>
      <c r="L13" s="5">
        <v>9801</v>
      </c>
      <c r="M13" s="168" t="s">
        <v>36</v>
      </c>
      <c r="N13" s="187"/>
      <c r="O13" s="187"/>
      <c r="P13" s="187"/>
      <c r="Q13" s="187"/>
      <c r="R13" s="187"/>
      <c r="S13" s="6">
        <f t="shared" si="2"/>
        <v>0</v>
      </c>
      <c r="T13" s="6">
        <f t="shared" si="3"/>
        <v>0</v>
      </c>
      <c r="U13" s="183"/>
      <c r="V13" s="185"/>
      <c r="W13" s="173"/>
    </row>
    <row r="14" spans="1:23" s="154" customFormat="1" ht="12.75">
      <c r="A14" s="4">
        <v>5000</v>
      </c>
      <c r="B14" s="168" t="s">
        <v>37</v>
      </c>
      <c r="C14" s="155"/>
      <c r="D14" s="155"/>
      <c r="E14" s="155"/>
      <c r="F14" s="155"/>
      <c r="G14" s="155"/>
      <c r="H14" s="155"/>
      <c r="I14" s="186">
        <f t="shared" si="0"/>
        <v>0</v>
      </c>
      <c r="J14" s="186">
        <f t="shared" si="1"/>
        <v>0</v>
      </c>
      <c r="K14" s="183"/>
      <c r="L14" s="5">
        <v>9802</v>
      </c>
      <c r="M14" s="168" t="s">
        <v>38</v>
      </c>
      <c r="N14" s="187"/>
      <c r="O14" s="187"/>
      <c r="P14" s="187"/>
      <c r="Q14" s="187"/>
      <c r="R14" s="187"/>
      <c r="S14" s="6">
        <f t="shared" si="2"/>
        <v>0</v>
      </c>
      <c r="T14" s="6">
        <f t="shared" si="3"/>
        <v>0</v>
      </c>
      <c r="U14" s="183"/>
      <c r="V14" s="185"/>
      <c r="W14" s="173"/>
    </row>
    <row r="15" spans="1:23" s="154" customFormat="1" ht="12.75">
      <c r="A15" s="4">
        <v>6000</v>
      </c>
      <c r="B15" s="168" t="s">
        <v>39</v>
      </c>
      <c r="C15" s="155"/>
      <c r="D15" s="155"/>
      <c r="E15" s="155"/>
      <c r="F15" s="155"/>
      <c r="G15" s="155"/>
      <c r="H15" s="155"/>
      <c r="I15" s="186">
        <f t="shared" si="0"/>
        <v>0</v>
      </c>
      <c r="J15" s="186">
        <f t="shared" si="1"/>
        <v>0</v>
      </c>
      <c r="K15" s="183"/>
      <c r="L15" s="5">
        <v>9900</v>
      </c>
      <c r="M15" s="168" t="s">
        <v>40</v>
      </c>
      <c r="N15" s="187"/>
      <c r="O15" s="187"/>
      <c r="P15" s="187"/>
      <c r="Q15" s="187"/>
      <c r="R15" s="187"/>
      <c r="S15" s="6">
        <f t="shared" si="2"/>
        <v>0</v>
      </c>
      <c r="T15" s="6">
        <f t="shared" si="3"/>
        <v>0</v>
      </c>
      <c r="U15" s="183"/>
      <c r="V15" s="185"/>
      <c r="W15" s="173"/>
    </row>
    <row r="16" spans="1:23" s="154" customFormat="1" ht="12.75">
      <c r="A16" s="5">
        <v>7000</v>
      </c>
      <c r="B16" s="168" t="s">
        <v>38</v>
      </c>
      <c r="C16" s="155"/>
      <c r="D16" s="155"/>
      <c r="E16" s="155"/>
      <c r="F16" s="155"/>
      <c r="G16" s="155"/>
      <c r="H16" s="155"/>
      <c r="I16" s="186">
        <f t="shared" si="0"/>
        <v>0</v>
      </c>
      <c r="J16" s="186">
        <f t="shared" si="1"/>
        <v>0</v>
      </c>
      <c r="K16" s="183"/>
      <c r="L16" s="5">
        <v>9960</v>
      </c>
      <c r="M16" s="168" t="s">
        <v>41</v>
      </c>
      <c r="N16" s="187"/>
      <c r="O16" s="187"/>
      <c r="P16" s="187"/>
      <c r="Q16" s="187"/>
      <c r="R16" s="187"/>
      <c r="S16" s="6">
        <f t="shared" si="2"/>
        <v>0</v>
      </c>
      <c r="T16" s="6">
        <f t="shared" si="3"/>
        <v>0</v>
      </c>
      <c r="U16" s="183"/>
      <c r="V16" s="185"/>
      <c r="W16" s="173"/>
    </row>
    <row r="17" spans="1:23" s="154" customFormat="1" ht="12.75">
      <c r="A17" s="5">
        <v>8000</v>
      </c>
      <c r="B17" s="168" t="s">
        <v>42</v>
      </c>
      <c r="C17" s="157"/>
      <c r="D17" s="157"/>
      <c r="E17" s="157"/>
      <c r="F17" s="157"/>
      <c r="G17" s="157"/>
      <c r="H17" s="157"/>
      <c r="I17" s="188">
        <f t="shared" si="0"/>
        <v>0</v>
      </c>
      <c r="J17" s="186">
        <f t="shared" si="1"/>
        <v>0</v>
      </c>
      <c r="K17" s="183"/>
      <c r="L17" s="189" t="s">
        <v>43</v>
      </c>
      <c r="M17" s="190"/>
      <c r="N17" s="191"/>
      <c r="O17" s="191"/>
      <c r="P17" s="191"/>
      <c r="Q17" s="191"/>
      <c r="R17" s="191"/>
      <c r="S17" s="192">
        <f t="shared" si="2"/>
        <v>0</v>
      </c>
      <c r="T17" s="192">
        <f t="shared" si="3"/>
        <v>0</v>
      </c>
      <c r="U17" s="183"/>
      <c r="V17" s="185"/>
      <c r="W17" s="173"/>
    </row>
    <row r="18" spans="1:23" s="154" customFormat="1" ht="12.75">
      <c r="A18" s="183"/>
      <c r="B18" s="193" t="s">
        <v>44</v>
      </c>
      <c r="C18" s="194">
        <f>SUM(C8:C17)</f>
        <v>0</v>
      </c>
      <c r="D18" s="194">
        <f>SUM(D8:D17)</f>
        <v>0</v>
      </c>
      <c r="E18" s="194">
        <f aca="true" t="shared" si="4" ref="E18:J18">SUM(E8:E17)</f>
        <v>0</v>
      </c>
      <c r="F18" s="194">
        <f t="shared" si="4"/>
        <v>0</v>
      </c>
      <c r="G18" s="194">
        <f t="shared" si="4"/>
        <v>0</v>
      </c>
      <c r="H18" s="194">
        <f t="shared" si="4"/>
        <v>0</v>
      </c>
      <c r="I18" s="195">
        <f t="shared" si="4"/>
        <v>0</v>
      </c>
      <c r="J18" s="195">
        <f t="shared" si="4"/>
        <v>0</v>
      </c>
      <c r="K18" s="183"/>
      <c r="L18" s="183"/>
      <c r="M18" s="196" t="s">
        <v>2</v>
      </c>
      <c r="N18" s="197">
        <f aca="true" t="shared" si="5" ref="N18:T18">SUM(N8:N17)</f>
        <v>0</v>
      </c>
      <c r="O18" s="197">
        <f t="shared" si="5"/>
        <v>0</v>
      </c>
      <c r="P18" s="197">
        <f t="shared" si="5"/>
        <v>0</v>
      </c>
      <c r="Q18" s="197">
        <f t="shared" si="5"/>
        <v>0</v>
      </c>
      <c r="R18" s="197">
        <f t="shared" si="5"/>
        <v>0</v>
      </c>
      <c r="S18" s="197">
        <f t="shared" si="5"/>
        <v>0</v>
      </c>
      <c r="T18" s="197">
        <f t="shared" si="5"/>
        <v>0</v>
      </c>
      <c r="U18" s="183"/>
      <c r="V18" s="198">
        <f>+J18-T18</f>
        <v>0</v>
      </c>
      <c r="W18" s="173"/>
    </row>
    <row r="19" spans="1:23" s="154" customFormat="1" ht="12.75">
      <c r="A19" s="199"/>
      <c r="B19" s="200"/>
      <c r="C19" s="201"/>
      <c r="D19" s="201"/>
      <c r="E19" s="201"/>
      <c r="F19" s="201"/>
      <c r="G19" s="201"/>
      <c r="H19" s="201"/>
      <c r="I19" s="199"/>
      <c r="J19" s="199"/>
      <c r="K19" s="183"/>
      <c r="L19" s="199"/>
      <c r="M19" s="200"/>
      <c r="N19" s="199"/>
      <c r="O19" s="199"/>
      <c r="P19" s="199"/>
      <c r="Q19" s="199"/>
      <c r="R19" s="199"/>
      <c r="S19" s="199"/>
      <c r="T19" s="199"/>
      <c r="U19" s="183"/>
      <c r="V19" s="202"/>
      <c r="W19" s="173"/>
    </row>
    <row r="20" spans="1:22" ht="12.75">
      <c r="A20" s="7"/>
      <c r="B20" s="9"/>
      <c r="C20" s="110"/>
      <c r="D20" s="110"/>
      <c r="E20" s="110"/>
      <c r="F20" s="110"/>
      <c r="G20" s="110"/>
      <c r="H20" s="110"/>
      <c r="I20" s="3"/>
      <c r="J20" s="3"/>
      <c r="K20" s="3"/>
      <c r="L20" s="3"/>
      <c r="M20" s="10"/>
      <c r="N20" s="3"/>
      <c r="O20" s="3"/>
      <c r="P20" s="3"/>
      <c r="Q20" s="3"/>
      <c r="R20" s="3"/>
      <c r="S20" s="3"/>
      <c r="T20" s="3"/>
      <c r="U20" s="3"/>
      <c r="V20" s="8"/>
    </row>
  </sheetData>
  <sheetProtection/>
  <printOptions horizontalCentered="1" verticalCentered="1"/>
  <pageMargins left="0" right="0" top="0.83" bottom="0.65" header="0" footer="0.17"/>
  <pageSetup orientation="landscape" scale="68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H128"/>
  <sheetViews>
    <sheetView tabSelected="1" zoomScalePageLayoutView="0" workbookViewId="0" topLeftCell="A106">
      <selection activeCell="A120" sqref="A120:IV120"/>
    </sheetView>
  </sheetViews>
  <sheetFormatPr defaultColWidth="10.8515625" defaultRowHeight="12.75"/>
  <cols>
    <col min="1" max="1" width="20.8515625" style="13" customWidth="1"/>
    <col min="2" max="2" width="17.7109375" style="13" customWidth="1"/>
    <col min="3" max="3" width="17.7109375" style="38" customWidth="1"/>
    <col min="4" max="4" width="6.7109375" style="13" customWidth="1"/>
    <col min="5" max="5" width="6.421875" style="13" customWidth="1"/>
    <col min="6" max="6" width="17.28125" style="13" customWidth="1"/>
    <col min="7" max="7" width="10.28125" style="13" customWidth="1"/>
    <col min="8" max="8" width="6.00390625" style="13" customWidth="1"/>
    <col min="9" max="10" width="2.00390625" style="13" customWidth="1"/>
    <col min="11" max="11" width="6.421875" style="13" customWidth="1"/>
    <col min="12" max="12" width="7.421875" style="13" customWidth="1"/>
    <col min="13" max="13" width="6.421875" style="13" customWidth="1"/>
    <col min="14" max="17" width="5.28125" style="13" customWidth="1"/>
    <col min="18" max="18" width="6.421875" style="13" customWidth="1"/>
    <col min="19" max="19" width="6.7109375" style="13" customWidth="1"/>
    <col min="20" max="20" width="8.7109375" style="13" customWidth="1"/>
    <col min="21" max="24" width="9.28125" style="13" customWidth="1"/>
    <col min="25" max="25" width="9.28125" style="34" customWidth="1"/>
    <col min="26" max="28" width="9.28125" style="13" customWidth="1"/>
    <col min="29" max="29" width="10.8515625" style="13" customWidth="1"/>
    <col min="30" max="39" width="13.140625" style="13" customWidth="1"/>
    <col min="40" max="41" width="12.00390625" style="13" customWidth="1"/>
    <col min="42" max="47" width="4.28125" style="13" customWidth="1"/>
    <col min="48" max="48" width="12.00390625" style="13" customWidth="1"/>
    <col min="49" max="50" width="6.421875" style="13" customWidth="1"/>
    <col min="51" max="57" width="4.28125" style="13" customWidth="1"/>
    <col min="58" max="86" width="2.00390625" style="13" customWidth="1"/>
    <col min="87" max="16384" width="10.8515625" style="13" customWidth="1"/>
  </cols>
  <sheetData>
    <row r="1" spans="1:40" ht="12.75">
      <c r="A1"/>
      <c r="B1" s="14"/>
      <c r="C1" s="18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45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12.75">
      <c r="A2" s="14"/>
      <c r="B2" s="14"/>
      <c r="C2" s="18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1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2.75">
      <c r="A3" s="35"/>
      <c r="B3" s="14"/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2"/>
      <c r="S3" s="42"/>
      <c r="T3" s="42"/>
      <c r="U3" s="42"/>
      <c r="V3" s="42"/>
      <c r="W3" s="42"/>
      <c r="X3" s="10"/>
      <c r="Y3" s="42"/>
      <c r="Z3" s="42"/>
      <c r="AA3" s="42"/>
      <c r="AB3" s="17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2.75">
      <c r="A4" s="35"/>
      <c r="B4" s="14"/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97"/>
      <c r="S4" s="98" t="s">
        <v>48</v>
      </c>
      <c r="T4" s="98"/>
      <c r="U4" s="98"/>
      <c r="V4" s="98"/>
      <c r="W4" s="98"/>
      <c r="X4" s="98"/>
      <c r="Y4" s="98"/>
      <c r="Z4" s="98"/>
      <c r="AA4" s="99"/>
      <c r="AB4" s="14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2.75">
      <c r="A5" s="14"/>
      <c r="B5" s="14"/>
      <c r="C5" s="18"/>
      <c r="D5" s="65"/>
      <c r="E5" s="66"/>
      <c r="F5" s="66"/>
      <c r="G5" s="65"/>
      <c r="H5" s="115"/>
      <c r="I5" s="16"/>
      <c r="J5" s="16"/>
      <c r="K5" s="14"/>
      <c r="L5" s="14"/>
      <c r="M5" s="14"/>
      <c r="N5" s="14"/>
      <c r="O5" s="14"/>
      <c r="P5" s="14"/>
      <c r="Q5" s="14"/>
      <c r="R5" s="100"/>
      <c r="S5" s="100"/>
      <c r="T5" s="100"/>
      <c r="U5" s="101"/>
      <c r="V5" s="100" t="s">
        <v>49</v>
      </c>
      <c r="W5" s="100" t="s">
        <v>50</v>
      </c>
      <c r="X5" s="100" t="s">
        <v>51</v>
      </c>
      <c r="Y5" s="100" t="s">
        <v>2</v>
      </c>
      <c r="Z5" s="100"/>
      <c r="AA5" s="102" t="s">
        <v>52</v>
      </c>
      <c r="AB5" s="14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.75">
      <c r="A6" s="63" t="s">
        <v>53</v>
      </c>
      <c r="B6" s="122">
        <f ca="1">NOW()</f>
        <v>42930.460657523145</v>
      </c>
      <c r="C6" s="18"/>
      <c r="D6" s="67" t="s">
        <v>46</v>
      </c>
      <c r="E6" s="68"/>
      <c r="F6" s="69"/>
      <c r="G6" s="67" t="s">
        <v>47</v>
      </c>
      <c r="H6" s="116"/>
      <c r="I6" s="14"/>
      <c r="J6" s="14"/>
      <c r="K6" s="14"/>
      <c r="L6" s="14"/>
      <c r="M6" s="14"/>
      <c r="N6" s="14"/>
      <c r="O6" s="14"/>
      <c r="P6" s="14"/>
      <c r="Q6" s="14"/>
      <c r="R6" s="103" t="s">
        <v>188</v>
      </c>
      <c r="S6" s="103" t="s">
        <v>56</v>
      </c>
      <c r="T6" s="104" t="s">
        <v>57</v>
      </c>
      <c r="U6" s="105" t="s">
        <v>58</v>
      </c>
      <c r="V6" s="103" t="s">
        <v>59</v>
      </c>
      <c r="W6" s="103" t="s">
        <v>59</v>
      </c>
      <c r="X6" s="103" t="s">
        <v>59</v>
      </c>
      <c r="Y6" s="103" t="s">
        <v>59</v>
      </c>
      <c r="Z6" s="103"/>
      <c r="AA6" s="106" t="s">
        <v>27</v>
      </c>
      <c r="AB6" s="14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50"/>
      <c r="B7" s="64">
        <f ca="1">NOW()</f>
        <v>42930.460657523145</v>
      </c>
      <c r="C7" s="18"/>
      <c r="D7" s="44"/>
      <c r="E7" s="45"/>
      <c r="F7" s="45"/>
      <c r="G7" s="44"/>
      <c r="H7" s="117"/>
      <c r="I7" s="14"/>
      <c r="J7" s="14"/>
      <c r="K7" s="14"/>
      <c r="L7" s="14"/>
      <c r="M7" s="14"/>
      <c r="N7" s="14"/>
      <c r="O7" s="14"/>
      <c r="P7" s="14"/>
      <c r="Q7" s="14"/>
      <c r="R7" s="107"/>
      <c r="S7" s="107"/>
      <c r="T7" s="107"/>
      <c r="U7" s="95"/>
      <c r="V7" s="94"/>
      <c r="W7" s="94"/>
      <c r="X7" s="94"/>
      <c r="Y7" s="94"/>
      <c r="Z7" s="107"/>
      <c r="AA7" s="108"/>
      <c r="AB7" s="14"/>
      <c r="AC7" s="20"/>
      <c r="AD7" s="21"/>
      <c r="AE7" s="21"/>
      <c r="AF7" s="21"/>
      <c r="AG7" s="21"/>
      <c r="AH7" s="21"/>
      <c r="AI7" s="12"/>
      <c r="AJ7" s="12"/>
      <c r="AK7" s="12"/>
      <c r="AL7" s="12"/>
      <c r="AM7" s="12"/>
      <c r="AN7" s="12"/>
    </row>
    <row r="8" spans="1:40" ht="15.75" customHeight="1">
      <c r="A8" s="50" t="s">
        <v>62</v>
      </c>
      <c r="B8" s="158">
        <v>15</v>
      </c>
      <c r="C8" s="18"/>
      <c r="D8" s="94" t="s">
        <v>54</v>
      </c>
      <c r="E8" s="95"/>
      <c r="F8" s="95"/>
      <c r="G8" s="118" t="s">
        <v>55</v>
      </c>
      <c r="H8" s="119"/>
      <c r="I8" s="14"/>
      <c r="J8" s="14"/>
      <c r="K8" s="14"/>
      <c r="L8" s="14"/>
      <c r="M8" s="14"/>
      <c r="N8" s="14"/>
      <c r="O8" s="14"/>
      <c r="P8" s="14"/>
      <c r="Q8" s="14"/>
      <c r="R8" s="162" t="s">
        <v>55</v>
      </c>
      <c r="S8" s="164">
        <v>0</v>
      </c>
      <c r="T8" s="94" t="s">
        <v>65</v>
      </c>
      <c r="U8" s="95"/>
      <c r="V8" s="203">
        <v>0.0986</v>
      </c>
      <c r="W8" s="203">
        <v>0.0613</v>
      </c>
      <c r="X8" s="203">
        <v>0.0801</v>
      </c>
      <c r="Y8" s="203">
        <f>SUM(V8:X8)</f>
        <v>0.24</v>
      </c>
      <c r="Z8" s="204"/>
      <c r="AA8" s="205">
        <v>0.519</v>
      </c>
      <c r="AB8" s="14"/>
      <c r="AC8" s="20"/>
      <c r="AD8" s="21"/>
      <c r="AE8" s="21"/>
      <c r="AF8" s="21"/>
      <c r="AG8" s="21"/>
      <c r="AH8" s="21"/>
      <c r="AI8" s="12"/>
      <c r="AJ8" s="22"/>
      <c r="AK8" s="12"/>
      <c r="AL8" s="12"/>
      <c r="AM8" s="12"/>
      <c r="AN8" s="12"/>
    </row>
    <row r="9" spans="1:40" ht="12.75">
      <c r="A9" s="96" t="s">
        <v>66</v>
      </c>
      <c r="B9" s="152">
        <f>VLOOKUP(B8,$A$94:$C$122,3)</f>
        <v>42924</v>
      </c>
      <c r="C9" s="18"/>
      <c r="D9" s="94" t="s">
        <v>60</v>
      </c>
      <c r="E9" s="95"/>
      <c r="F9" s="95"/>
      <c r="G9" s="118" t="s">
        <v>61</v>
      </c>
      <c r="H9" s="119"/>
      <c r="I9" s="14"/>
      <c r="J9" s="14"/>
      <c r="K9" s="14"/>
      <c r="L9" s="14"/>
      <c r="M9" s="14"/>
      <c r="N9" s="14"/>
      <c r="O9" s="14"/>
      <c r="P9" s="14"/>
      <c r="Q9" s="14"/>
      <c r="R9" s="162" t="s">
        <v>61</v>
      </c>
      <c r="S9" s="164">
        <v>1</v>
      </c>
      <c r="T9" s="94" t="s">
        <v>68</v>
      </c>
      <c r="U9" s="95"/>
      <c r="V9" s="203">
        <v>0.1</v>
      </c>
      <c r="W9" s="203">
        <v>0.0746</v>
      </c>
      <c r="X9" s="206">
        <v>0.0684</v>
      </c>
      <c r="Y9" s="203">
        <f aca="true" t="shared" si="0" ref="Y9:Y20">SUM(V9:X9)</f>
        <v>0.243</v>
      </c>
      <c r="Z9" s="203"/>
      <c r="AA9" s="205">
        <v>0.523</v>
      </c>
      <c r="AB9" s="14"/>
      <c r="AC9" s="20"/>
      <c r="AD9" s="21"/>
      <c r="AE9" s="21"/>
      <c r="AF9" s="21"/>
      <c r="AG9" s="21"/>
      <c r="AH9" s="21"/>
      <c r="AI9" s="12"/>
      <c r="AJ9" s="22"/>
      <c r="AK9" s="12"/>
      <c r="AL9" s="12"/>
      <c r="AM9" s="12"/>
      <c r="AN9" s="12"/>
    </row>
    <row r="10" spans="1:40" ht="12.75">
      <c r="A10" s="14"/>
      <c r="B10" s="14"/>
      <c r="C10" s="18"/>
      <c r="D10" s="94" t="s">
        <v>63</v>
      </c>
      <c r="E10" s="95"/>
      <c r="F10" s="95"/>
      <c r="G10" s="118" t="s">
        <v>64</v>
      </c>
      <c r="H10" s="119"/>
      <c r="I10" s="14"/>
      <c r="J10" s="14"/>
      <c r="K10" s="14"/>
      <c r="L10" s="14"/>
      <c r="M10" s="14"/>
      <c r="N10" s="14"/>
      <c r="O10" s="15"/>
      <c r="P10" s="14"/>
      <c r="Q10" s="14"/>
      <c r="R10" s="162" t="s">
        <v>64</v>
      </c>
      <c r="S10" s="164">
        <v>2</v>
      </c>
      <c r="T10" s="94" t="s">
        <v>71</v>
      </c>
      <c r="U10" s="95"/>
      <c r="V10" s="203">
        <v>0.1068</v>
      </c>
      <c r="W10" s="203">
        <v>0.0584</v>
      </c>
      <c r="X10" s="203">
        <v>0.0728</v>
      </c>
      <c r="Y10" s="203">
        <f t="shared" si="0"/>
        <v>0.23800000000000002</v>
      </c>
      <c r="Z10" s="203"/>
      <c r="AA10" s="205">
        <v>0.423</v>
      </c>
      <c r="AB10" s="14"/>
      <c r="AC10" s="20"/>
      <c r="AD10" s="21"/>
      <c r="AE10" s="21"/>
      <c r="AF10" s="21"/>
      <c r="AG10" s="21"/>
      <c r="AH10" s="21"/>
      <c r="AI10" s="12"/>
      <c r="AJ10" s="22"/>
      <c r="AK10" s="12"/>
      <c r="AL10" s="12"/>
      <c r="AM10" s="12"/>
      <c r="AN10" s="12"/>
    </row>
    <row r="11" spans="1:40" ht="12.75">
      <c r="A11" s="14"/>
      <c r="B11" s="14"/>
      <c r="C11" s="18"/>
      <c r="D11" s="94" t="s">
        <v>67</v>
      </c>
      <c r="E11" s="95"/>
      <c r="F11" s="95"/>
      <c r="G11" s="118" t="s">
        <v>145</v>
      </c>
      <c r="H11" s="119"/>
      <c r="I11" s="14"/>
      <c r="J11" s="14"/>
      <c r="K11" s="14"/>
      <c r="L11" s="14"/>
      <c r="M11" s="16"/>
      <c r="N11" s="16"/>
      <c r="O11" s="16"/>
      <c r="P11" s="16"/>
      <c r="Q11" s="16"/>
      <c r="R11" s="162" t="s">
        <v>145</v>
      </c>
      <c r="S11" s="164">
        <v>3</v>
      </c>
      <c r="T11" s="94" t="s">
        <v>73</v>
      </c>
      <c r="U11" s="95"/>
      <c r="V11" s="203">
        <v>0</v>
      </c>
      <c r="W11" s="203">
        <v>0</v>
      </c>
      <c r="X11" s="203">
        <v>0</v>
      </c>
      <c r="Y11" s="203">
        <f t="shared" si="0"/>
        <v>0</v>
      </c>
      <c r="Z11" s="203"/>
      <c r="AA11" s="205">
        <v>0.316</v>
      </c>
      <c r="AB11" s="14"/>
      <c r="AC11" s="20"/>
      <c r="AD11" s="21"/>
      <c r="AE11" s="21"/>
      <c r="AF11" s="21"/>
      <c r="AG11" s="21"/>
      <c r="AH11" s="21"/>
      <c r="AI11" s="12"/>
      <c r="AJ11" s="22"/>
      <c r="AK11" s="12"/>
      <c r="AL11" s="12"/>
      <c r="AM11" s="12"/>
      <c r="AN11" s="12"/>
    </row>
    <row r="12" spans="1:40" ht="12.75">
      <c r="A12" s="14"/>
      <c r="B12" s="14"/>
      <c r="C12" s="18"/>
      <c r="D12" s="94" t="s">
        <v>69</v>
      </c>
      <c r="E12" s="95"/>
      <c r="F12" s="95"/>
      <c r="G12" s="118" t="s">
        <v>70</v>
      </c>
      <c r="H12" s="119"/>
      <c r="I12" s="14"/>
      <c r="J12" s="14"/>
      <c r="K12" s="19"/>
      <c r="L12" s="14"/>
      <c r="M12" s="14"/>
      <c r="N12" s="14"/>
      <c r="O12" s="14"/>
      <c r="P12" s="14"/>
      <c r="Q12" s="14"/>
      <c r="R12" s="162" t="s">
        <v>70</v>
      </c>
      <c r="S12" s="164">
        <v>4</v>
      </c>
      <c r="T12" s="94" t="s">
        <v>75</v>
      </c>
      <c r="U12" s="95"/>
      <c r="V12" s="203">
        <v>0.1003</v>
      </c>
      <c r="W12" s="203">
        <v>0.0386</v>
      </c>
      <c r="X12" s="203">
        <v>0.0601</v>
      </c>
      <c r="Y12" s="203">
        <f t="shared" si="0"/>
        <v>0.199</v>
      </c>
      <c r="Z12" s="203"/>
      <c r="AA12" s="205">
        <v>0.28</v>
      </c>
      <c r="AB12" s="14"/>
      <c r="AC12" s="11"/>
      <c r="AD12" s="12"/>
      <c r="AE12" s="22"/>
      <c r="AF12" s="22"/>
      <c r="AG12" s="12"/>
      <c r="AH12" s="12"/>
      <c r="AI12" s="12"/>
      <c r="AJ12" s="22"/>
      <c r="AK12" s="12"/>
      <c r="AL12" s="12"/>
      <c r="AM12" s="12"/>
      <c r="AN12" s="12"/>
    </row>
    <row r="13" spans="1:40" ht="12.75">
      <c r="A13" s="14"/>
      <c r="B13" s="14"/>
      <c r="C13" s="18"/>
      <c r="D13" s="94" t="s">
        <v>72</v>
      </c>
      <c r="E13" s="95"/>
      <c r="F13" s="95"/>
      <c r="G13" s="118" t="s">
        <v>146</v>
      </c>
      <c r="H13" s="119"/>
      <c r="I13" s="14"/>
      <c r="J13" s="14"/>
      <c r="K13" s="14"/>
      <c r="L13" s="14"/>
      <c r="M13" s="14"/>
      <c r="N13" s="14"/>
      <c r="O13" s="14"/>
      <c r="P13" s="14"/>
      <c r="Q13" s="14"/>
      <c r="R13" s="162" t="s">
        <v>146</v>
      </c>
      <c r="S13" s="164">
        <v>5</v>
      </c>
      <c r="T13" s="94" t="s">
        <v>76</v>
      </c>
      <c r="U13" s="95"/>
      <c r="V13" s="203">
        <v>0</v>
      </c>
      <c r="W13" s="203">
        <v>0.0288</v>
      </c>
      <c r="X13" s="203">
        <v>0.0742</v>
      </c>
      <c r="Y13" s="203">
        <f t="shared" si="0"/>
        <v>0.10300000000000001</v>
      </c>
      <c r="Z13" s="203"/>
      <c r="AA13" s="205">
        <v>0.311</v>
      </c>
      <c r="AB13" s="14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>
      <c r="A14" s="14"/>
      <c r="B14" s="14"/>
      <c r="C14" s="18"/>
      <c r="D14" s="94" t="s">
        <v>184</v>
      </c>
      <c r="E14" s="95"/>
      <c r="F14" s="95"/>
      <c r="G14" s="118" t="s">
        <v>192</v>
      </c>
      <c r="H14" s="119"/>
      <c r="I14" s="14"/>
      <c r="J14" s="14"/>
      <c r="K14" s="14"/>
      <c r="L14" s="14"/>
      <c r="M14" s="14"/>
      <c r="N14" s="14"/>
      <c r="O14" s="14"/>
      <c r="P14" s="17"/>
      <c r="Q14" s="14"/>
      <c r="R14" s="162" t="s">
        <v>74</v>
      </c>
      <c r="S14" s="164">
        <v>6</v>
      </c>
      <c r="T14" s="94" t="s">
        <v>185</v>
      </c>
      <c r="U14" s="95"/>
      <c r="V14" s="113">
        <v>0</v>
      </c>
      <c r="W14" s="113">
        <v>0.0374</v>
      </c>
      <c r="X14" s="113">
        <v>0.0706</v>
      </c>
      <c r="Y14" s="113">
        <f t="shared" si="0"/>
        <v>0.108</v>
      </c>
      <c r="Z14" s="113"/>
      <c r="AA14" s="114">
        <v>0.343</v>
      </c>
      <c r="AB14" s="14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>
      <c r="A15" s="14"/>
      <c r="B15" s="14"/>
      <c r="C15" s="18"/>
      <c r="D15" s="94" t="s">
        <v>178</v>
      </c>
      <c r="E15" s="95"/>
      <c r="F15" s="95"/>
      <c r="G15" s="118" t="s">
        <v>179</v>
      </c>
      <c r="H15" s="119"/>
      <c r="I15" s="14"/>
      <c r="J15" s="14"/>
      <c r="K15" s="14"/>
      <c r="L15" s="14"/>
      <c r="M15" s="14"/>
      <c r="N15" s="17"/>
      <c r="O15" s="14"/>
      <c r="P15" s="17"/>
      <c r="Q15" s="14"/>
      <c r="R15" s="162" t="s">
        <v>179</v>
      </c>
      <c r="S15" s="164">
        <v>7</v>
      </c>
      <c r="T15" s="94" t="s">
        <v>182</v>
      </c>
      <c r="U15" s="95"/>
      <c r="V15" s="113">
        <v>0.1003</v>
      </c>
      <c r="W15" s="113">
        <v>0.0386</v>
      </c>
      <c r="X15" s="113">
        <v>0.0601</v>
      </c>
      <c r="Y15" s="113">
        <f t="shared" si="0"/>
        <v>0.199</v>
      </c>
      <c r="Z15" s="113"/>
      <c r="AA15" s="114">
        <v>0.28</v>
      </c>
      <c r="AB15" s="14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>
      <c r="A16" s="14"/>
      <c r="B16" s="14"/>
      <c r="C16" s="18"/>
      <c r="D16" s="94" t="s">
        <v>147</v>
      </c>
      <c r="E16" s="95"/>
      <c r="F16" s="95"/>
      <c r="G16" s="118" t="s">
        <v>148</v>
      </c>
      <c r="H16" s="119"/>
      <c r="I16" s="14"/>
      <c r="J16" s="14"/>
      <c r="K16" s="14"/>
      <c r="L16" s="14"/>
      <c r="M16" s="14"/>
      <c r="N16" s="17"/>
      <c r="O16" s="17"/>
      <c r="P16" s="17"/>
      <c r="Q16" s="14"/>
      <c r="R16" s="162" t="s">
        <v>148</v>
      </c>
      <c r="S16" s="164">
        <v>8</v>
      </c>
      <c r="T16" s="94" t="s">
        <v>144</v>
      </c>
      <c r="U16" s="95"/>
      <c r="V16" s="113">
        <v>0</v>
      </c>
      <c r="W16" s="113">
        <v>0</v>
      </c>
      <c r="X16" s="113">
        <v>0</v>
      </c>
      <c r="Y16" s="113">
        <f t="shared" si="0"/>
        <v>0</v>
      </c>
      <c r="Z16" s="113"/>
      <c r="AA16" s="114">
        <v>0.087</v>
      </c>
      <c r="AB16" s="14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>
      <c r="A17" s="14"/>
      <c r="B17" s="14"/>
      <c r="C17" s="18"/>
      <c r="D17" s="94" t="s">
        <v>150</v>
      </c>
      <c r="E17" s="95"/>
      <c r="F17" s="95"/>
      <c r="G17" s="118" t="s">
        <v>193</v>
      </c>
      <c r="H17" s="119"/>
      <c r="I17" s="14"/>
      <c r="J17" s="14"/>
      <c r="K17" s="14"/>
      <c r="L17" s="14"/>
      <c r="M17" s="14"/>
      <c r="N17" s="17"/>
      <c r="O17" s="17"/>
      <c r="P17" s="17"/>
      <c r="Q17" s="14"/>
      <c r="R17" s="162" t="s">
        <v>193</v>
      </c>
      <c r="S17" s="164">
        <v>9</v>
      </c>
      <c r="T17" s="94" t="s">
        <v>152</v>
      </c>
      <c r="U17" s="95"/>
      <c r="V17" s="113">
        <v>0</v>
      </c>
      <c r="W17" s="113">
        <v>0</v>
      </c>
      <c r="X17" s="113">
        <v>0</v>
      </c>
      <c r="Y17" s="113">
        <f t="shared" si="0"/>
        <v>0</v>
      </c>
      <c r="Z17" s="113"/>
      <c r="AA17" s="114">
        <v>0.086</v>
      </c>
      <c r="AB17" s="14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>
      <c r="A18" s="14"/>
      <c r="B18" s="14"/>
      <c r="C18" s="18"/>
      <c r="D18" s="94" t="s">
        <v>149</v>
      </c>
      <c r="E18" s="95"/>
      <c r="F18" s="95"/>
      <c r="G18" s="118" t="s">
        <v>194</v>
      </c>
      <c r="H18" s="119"/>
      <c r="I18" s="14"/>
      <c r="J18" s="14"/>
      <c r="K18" s="14"/>
      <c r="L18" s="14"/>
      <c r="M18" s="14"/>
      <c r="N18" s="17"/>
      <c r="O18" s="17"/>
      <c r="P18" s="17"/>
      <c r="Q18" s="17"/>
      <c r="R18" s="162" t="s">
        <v>194</v>
      </c>
      <c r="S18" s="164">
        <v>10</v>
      </c>
      <c r="T18" s="94" t="s">
        <v>77</v>
      </c>
      <c r="U18" s="95"/>
      <c r="V18" s="113">
        <v>0</v>
      </c>
      <c r="W18" s="113">
        <v>0</v>
      </c>
      <c r="X18" s="113">
        <v>0</v>
      </c>
      <c r="Y18" s="113">
        <f t="shared" si="0"/>
        <v>0</v>
      </c>
      <c r="Z18" s="113"/>
      <c r="AA18" s="114">
        <v>0.086</v>
      </c>
      <c r="AB18" s="14"/>
      <c r="AC18" s="11"/>
      <c r="AD18" s="12"/>
      <c r="AE18" s="22"/>
      <c r="AF18" s="22"/>
      <c r="AG18" s="12"/>
      <c r="AH18" s="12"/>
      <c r="AI18" s="12"/>
      <c r="AJ18" s="22"/>
      <c r="AK18" s="12"/>
      <c r="AL18" s="12"/>
      <c r="AM18" s="12"/>
      <c r="AN18" s="12"/>
    </row>
    <row r="19" spans="1:40" ht="12.75">
      <c r="A19" s="14"/>
      <c r="B19" s="14"/>
      <c r="C19" s="18"/>
      <c r="D19" s="94" t="s">
        <v>151</v>
      </c>
      <c r="E19" s="95"/>
      <c r="F19" s="95"/>
      <c r="G19" s="207" t="s">
        <v>187</v>
      </c>
      <c r="H19" s="208"/>
      <c r="I19" s="14"/>
      <c r="J19" s="14"/>
      <c r="K19" s="14"/>
      <c r="L19" s="14"/>
      <c r="M19" s="17"/>
      <c r="N19" s="17"/>
      <c r="O19" s="17"/>
      <c r="P19" s="17"/>
      <c r="Q19" s="17"/>
      <c r="R19" s="162" t="s">
        <v>187</v>
      </c>
      <c r="S19" s="164">
        <v>11</v>
      </c>
      <c r="T19" s="94" t="s">
        <v>78</v>
      </c>
      <c r="U19" s="95"/>
      <c r="V19" s="113">
        <v>0</v>
      </c>
      <c r="W19" s="113">
        <v>0</v>
      </c>
      <c r="X19" s="113">
        <v>0</v>
      </c>
      <c r="Y19" s="113">
        <f t="shared" si="0"/>
        <v>0</v>
      </c>
      <c r="Z19" s="113"/>
      <c r="AA19" s="114">
        <v>0</v>
      </c>
      <c r="AB19" s="16"/>
      <c r="AC19" s="11"/>
      <c r="AD19" s="12"/>
      <c r="AE19" s="22"/>
      <c r="AF19" s="22"/>
      <c r="AG19" s="12"/>
      <c r="AH19" s="12"/>
      <c r="AI19" s="12"/>
      <c r="AJ19" s="22"/>
      <c r="AK19" s="12"/>
      <c r="AL19" s="12"/>
      <c r="AM19" s="12"/>
      <c r="AN19" s="12"/>
    </row>
    <row r="20" spans="1:40" ht="12.75">
      <c r="A20" s="14"/>
      <c r="B20" s="14"/>
      <c r="C20" s="18"/>
      <c r="D20" s="96" t="s">
        <v>180</v>
      </c>
      <c r="E20" s="61"/>
      <c r="F20" s="62"/>
      <c r="G20" s="209" t="s">
        <v>181</v>
      </c>
      <c r="H20" s="210"/>
      <c r="I20" s="14"/>
      <c r="J20" s="14"/>
      <c r="K20" s="14"/>
      <c r="L20" s="14"/>
      <c r="M20" s="17"/>
      <c r="N20" s="17"/>
      <c r="O20" s="17"/>
      <c r="P20" s="17"/>
      <c r="Q20" s="17"/>
      <c r="R20" s="163" t="s">
        <v>181</v>
      </c>
      <c r="S20" s="165">
        <v>12</v>
      </c>
      <c r="T20" s="96" t="s">
        <v>183</v>
      </c>
      <c r="U20" s="61"/>
      <c r="V20" s="131">
        <v>0</v>
      </c>
      <c r="W20" s="131">
        <v>0.0305</v>
      </c>
      <c r="X20" s="131">
        <v>0.0005</v>
      </c>
      <c r="Y20" s="161">
        <f t="shared" si="0"/>
        <v>0.031</v>
      </c>
      <c r="Z20" s="132"/>
      <c r="AA20" s="133">
        <v>0.28</v>
      </c>
      <c r="AB20" s="16"/>
      <c r="AC20" s="11"/>
      <c r="AD20" s="12"/>
      <c r="AE20" s="22"/>
      <c r="AF20" s="22"/>
      <c r="AG20" s="12"/>
      <c r="AH20" s="12"/>
      <c r="AI20" s="12"/>
      <c r="AJ20" s="22"/>
      <c r="AK20" s="12"/>
      <c r="AL20" s="12"/>
      <c r="AM20" s="12"/>
      <c r="AN20" s="12"/>
    </row>
    <row r="21" spans="1:51" ht="12.75">
      <c r="A21" s="14"/>
      <c r="B21" s="14"/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17"/>
      <c r="O21" s="17"/>
      <c r="P21" s="17"/>
      <c r="Q21" s="17"/>
      <c r="R21" s="17"/>
      <c r="S21" s="42"/>
      <c r="T21" s="42"/>
      <c r="U21" s="45"/>
      <c r="V21" s="111"/>
      <c r="W21" s="111"/>
      <c r="X21" s="111"/>
      <c r="Y21" s="111"/>
      <c r="Z21" s="112"/>
      <c r="AA21" s="112"/>
      <c r="AB21" s="16"/>
      <c r="AC21" s="11"/>
      <c r="AD21" s="12"/>
      <c r="AE21" s="22"/>
      <c r="AF21" s="22"/>
      <c r="AG21" s="12"/>
      <c r="AH21" s="12"/>
      <c r="AI21" s="12"/>
      <c r="AJ21" s="22"/>
      <c r="AK21" s="12"/>
      <c r="AL21" s="12"/>
      <c r="AM21" s="12"/>
      <c r="AN21" s="12"/>
      <c r="AP21" s="12"/>
      <c r="AQ21" s="12"/>
      <c r="AR21" s="12"/>
      <c r="AS21" s="12"/>
      <c r="AT21" s="12"/>
      <c r="AU21" s="12"/>
      <c r="AV21" s="12"/>
      <c r="AX21" s="23"/>
      <c r="AY21" s="23"/>
    </row>
    <row r="22" spans="1:40" ht="12.75">
      <c r="A22" s="87" t="s">
        <v>79</v>
      </c>
      <c r="B22" s="66"/>
      <c r="C22" s="72"/>
      <c r="D22" s="66"/>
      <c r="E22" s="66"/>
      <c r="F22" s="73"/>
      <c r="G22" s="73"/>
      <c r="H22" s="72" t="s">
        <v>80</v>
      </c>
      <c r="I22" s="66"/>
      <c r="J22" s="66"/>
      <c r="K22" s="72" t="s">
        <v>81</v>
      </c>
      <c r="L22" s="72"/>
      <c r="M22" s="74"/>
      <c r="N22" s="74"/>
      <c r="O22" s="74"/>
      <c r="P22" s="74"/>
      <c r="Q22" s="74"/>
      <c r="R22" s="72" t="s">
        <v>2</v>
      </c>
      <c r="S22" s="66"/>
      <c r="T22" s="72" t="s">
        <v>3</v>
      </c>
      <c r="U22" s="66"/>
      <c r="V22" s="75"/>
      <c r="W22" s="75"/>
      <c r="X22" s="75"/>
      <c r="Y22" s="75"/>
      <c r="Z22" s="75"/>
      <c r="AA22" s="75"/>
      <c r="AB22" s="76"/>
      <c r="AC22" s="11"/>
      <c r="AD22" s="12"/>
      <c r="AE22" s="22"/>
      <c r="AF22" s="22"/>
      <c r="AG22" s="12"/>
      <c r="AH22" s="12"/>
      <c r="AI22" s="12"/>
      <c r="AJ22" s="22"/>
      <c r="AK22" s="12"/>
      <c r="AL22" s="12"/>
      <c r="AM22" s="12"/>
      <c r="AN22" s="12"/>
    </row>
    <row r="23" spans="1:40" ht="12.75">
      <c r="A23" s="77"/>
      <c r="B23" s="78" t="s">
        <v>82</v>
      </c>
      <c r="C23" s="70"/>
      <c r="D23" s="79" t="s">
        <v>58</v>
      </c>
      <c r="E23" s="70" t="s">
        <v>83</v>
      </c>
      <c r="F23" s="70" t="s">
        <v>84</v>
      </c>
      <c r="G23" s="70" t="s">
        <v>85</v>
      </c>
      <c r="H23" s="70" t="s">
        <v>86</v>
      </c>
      <c r="I23" s="80"/>
      <c r="J23" s="80"/>
      <c r="K23" s="70" t="s">
        <v>86</v>
      </c>
      <c r="L23" s="70" t="s">
        <v>81</v>
      </c>
      <c r="M23" s="81"/>
      <c r="N23" s="82" t="s">
        <v>87</v>
      </c>
      <c r="O23" s="81"/>
      <c r="P23" s="70" t="s">
        <v>88</v>
      </c>
      <c r="Q23" s="81"/>
      <c r="R23" s="70" t="s">
        <v>89</v>
      </c>
      <c r="S23" s="80"/>
      <c r="T23" s="70" t="s">
        <v>80</v>
      </c>
      <c r="U23" s="70" t="s">
        <v>90</v>
      </c>
      <c r="V23" s="70" t="s">
        <v>91</v>
      </c>
      <c r="W23" s="70" t="s">
        <v>50</v>
      </c>
      <c r="X23" s="70" t="s">
        <v>51</v>
      </c>
      <c r="Y23" s="70" t="s">
        <v>2</v>
      </c>
      <c r="Z23" s="70" t="s">
        <v>2</v>
      </c>
      <c r="AA23" s="70" t="s">
        <v>2</v>
      </c>
      <c r="AB23" s="83" t="s">
        <v>2</v>
      </c>
      <c r="AC23" s="11"/>
      <c r="AD23" s="12"/>
      <c r="AE23" s="22"/>
      <c r="AF23" s="22"/>
      <c r="AG23" s="12"/>
      <c r="AH23" s="12"/>
      <c r="AI23" s="12"/>
      <c r="AJ23" s="22"/>
      <c r="AK23" s="12"/>
      <c r="AL23" s="12"/>
      <c r="AM23" s="12"/>
      <c r="AN23" s="12"/>
    </row>
    <row r="24" spans="1:86" ht="12.75">
      <c r="A24" s="71" t="s">
        <v>92</v>
      </c>
      <c r="B24" s="84" t="s">
        <v>93</v>
      </c>
      <c r="C24" s="84" t="s">
        <v>94</v>
      </c>
      <c r="D24" s="84" t="s">
        <v>95</v>
      </c>
      <c r="E24" s="84" t="s">
        <v>96</v>
      </c>
      <c r="F24" s="84" t="s">
        <v>7</v>
      </c>
      <c r="G24" s="84" t="s">
        <v>7</v>
      </c>
      <c r="H24" s="84" t="s">
        <v>97</v>
      </c>
      <c r="I24" s="85"/>
      <c r="J24" s="85"/>
      <c r="K24" s="84" t="s">
        <v>98</v>
      </c>
      <c r="L24" s="84" t="s">
        <v>99</v>
      </c>
      <c r="M24" s="84" t="s">
        <v>50</v>
      </c>
      <c r="N24" s="84" t="s">
        <v>100</v>
      </c>
      <c r="O24" s="84" t="s">
        <v>91</v>
      </c>
      <c r="P24" s="84" t="s">
        <v>101</v>
      </c>
      <c r="Q24" s="84" t="s">
        <v>102</v>
      </c>
      <c r="R24" s="84" t="s">
        <v>59</v>
      </c>
      <c r="S24" s="85"/>
      <c r="T24" s="84" t="s">
        <v>99</v>
      </c>
      <c r="U24" s="84" t="s">
        <v>103</v>
      </c>
      <c r="V24" s="84" t="s">
        <v>59</v>
      </c>
      <c r="W24" s="84" t="s">
        <v>59</v>
      </c>
      <c r="X24" s="84" t="s">
        <v>59</v>
      </c>
      <c r="Y24" s="84" t="s">
        <v>59</v>
      </c>
      <c r="Z24" s="84" t="s">
        <v>104</v>
      </c>
      <c r="AA24" s="84" t="s">
        <v>27</v>
      </c>
      <c r="AB24" s="86" t="s">
        <v>105</v>
      </c>
      <c r="AC24" s="11"/>
      <c r="AD24" s="12"/>
      <c r="AE24" s="22"/>
      <c r="AF24" s="22"/>
      <c r="AG24" s="12"/>
      <c r="AH24" s="12"/>
      <c r="AI24" s="12"/>
      <c r="AJ24" s="22"/>
      <c r="AK24" s="12"/>
      <c r="AL24" s="12"/>
      <c r="AM24" s="12"/>
      <c r="AN24" s="12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40" ht="12.75">
      <c r="A25" s="44"/>
      <c r="B25" s="45"/>
      <c r="C25" s="4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4"/>
      <c r="AD25" s="25"/>
      <c r="AE25" s="22"/>
      <c r="AF25" s="22"/>
      <c r="AG25" s="12"/>
      <c r="AH25" s="12"/>
      <c r="AI25" s="12"/>
      <c r="AJ25" s="22"/>
      <c r="AK25" s="12"/>
      <c r="AL25" s="12"/>
      <c r="AM25" s="12"/>
      <c r="AN25" s="12"/>
    </row>
    <row r="26" spans="1:40" ht="12.75">
      <c r="A26" s="145"/>
      <c r="B26" s="121"/>
      <c r="C26" s="146"/>
      <c r="D26" s="147"/>
      <c r="E26" s="144"/>
      <c r="F26" s="148"/>
      <c r="G26" s="148"/>
      <c r="H26" s="149"/>
      <c r="I26" s="49">
        <f aca="true" t="shared" si="1" ref="I26:I56">IF(MOD(F26,7)=0,F26+2,IF(MOD(F26,7)=1,F26+1,F26))</f>
        <v>2</v>
      </c>
      <c r="J26" s="109">
        <f aca="true" t="shared" si="2" ref="J26:J56">IF(MOD(G26,7)=0,G26+2,IF(MOD(G26,7)=1,G26+1,G26))</f>
        <v>2</v>
      </c>
      <c r="K26" s="139">
        <f aca="true" t="shared" si="3" ref="K26:K56">(IF(OR(MOD(G26,7)=1,MOD(G26,7)=0),(J26-I26),J26-I26+1))-((((J26-(MOD(J26,7)))-(I26-(MOD(I26,7))))/7)*2)</f>
        <v>0</v>
      </c>
      <c r="L26" s="139">
        <f aca="true" t="shared" si="4" ref="L26:L56">IF(G26&lt;=$B$9,0,IF(F26&gt;=$B$9,K26,(IF(OR(MOD(G26,7)=1,MOD(G26,7)=0),(J26-($B$9+2)),(J26-($B$9+1))))-(((J26-MOD(J26,7)+1)-($B$9+1))/7*2)))</f>
        <v>0</v>
      </c>
      <c r="M26" s="144">
        <v>0</v>
      </c>
      <c r="N26" s="139">
        <f aca="true" t="shared" si="5" ref="N26:N56">IF(G26&lt;=$B$9,0,IF(F26&gt;=$B$9,(VLOOKUP(F26,$F$94:$G$106,2)-VLOOKUP(G26,$F$94:$G$106,2))*-1,(VLOOKUP($B$9,$F$94:$G$108,2)-VLOOKUP(G26,$F$94:$G$106,2))*-1))*(VLOOKUP(E26,$F$110:$G$121,2))</f>
        <v>0</v>
      </c>
      <c r="O26" s="144">
        <v>0</v>
      </c>
      <c r="P26" s="144">
        <v>0</v>
      </c>
      <c r="Q26" s="144">
        <f>IF(AND(E26&gt;=0,E26&lt;=4),(L26*-0.15-N26),IF(AND(E26&gt;=5,E26&lt;=6),(L26*-0.125-N26),IF(AND(E26&gt;=7,E26&lt;=7),(L26*-0.15-N26),IF(AND(E26&gt;=8,E26&lt;=11),(0),IF(AND(E26&gt;=12,E26&lt;=12),(L26*-0.06-N26))))))</f>
        <v>0</v>
      </c>
      <c r="R26" s="139">
        <f>SUM(M26:Q26)</f>
        <v>0</v>
      </c>
      <c r="S26" s="141">
        <v>0</v>
      </c>
      <c r="T26" s="139">
        <f aca="true" t="shared" si="6" ref="T26:T56">IF(L26&lt;=0,0,IF(L26&lt;=ABS(R26),0,IF(B26&gt;150,(L26/14),(H26*(L26+R26))+(1.5*S26))))</f>
        <v>0</v>
      </c>
      <c r="U26" s="134">
        <f>IF(B26&gt;150,((B26/(K26/14))*T26),(B26*T26))</f>
        <v>0</v>
      </c>
      <c r="V26" s="134">
        <f aca="true" t="shared" si="7" ref="V26:V56">VLOOKUP(E26,$S$8:$AA$20,4)*U26</f>
        <v>0</v>
      </c>
      <c r="W26" s="134">
        <f aca="true" t="shared" si="8" ref="W26:W56">VLOOKUP(E26,$S$8:$AA$20,5)*U26</f>
        <v>0</v>
      </c>
      <c r="X26" s="134">
        <f aca="true" t="shared" si="9" ref="X26:X56">VLOOKUP(E26,$S$8:$AA$20,6)*U26</f>
        <v>0</v>
      </c>
      <c r="Y26" s="134">
        <f>SUM(V26+W26+X26)</f>
        <v>0</v>
      </c>
      <c r="Z26" s="134">
        <f>SUM(U26:X26)</f>
        <v>0</v>
      </c>
      <c r="AA26" s="134">
        <f aca="true" t="shared" si="10" ref="AA26:AA56">VLOOKUP(E26,$S$8:$AA$19,9)*Z26</f>
        <v>0</v>
      </c>
      <c r="AB26" s="135">
        <f>Z26+AA26</f>
        <v>0</v>
      </c>
      <c r="AC26" s="24"/>
      <c r="AD26" s="25"/>
      <c r="AE26" s="22"/>
      <c r="AF26" s="2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145"/>
      <c r="B27" s="121"/>
      <c r="C27" s="146"/>
      <c r="D27" s="147"/>
      <c r="E27" s="144"/>
      <c r="F27" s="148"/>
      <c r="G27" s="148"/>
      <c r="H27" s="149"/>
      <c r="I27" s="49">
        <f t="shared" si="1"/>
        <v>2</v>
      </c>
      <c r="J27" s="109">
        <f t="shared" si="2"/>
        <v>2</v>
      </c>
      <c r="K27" s="139">
        <f t="shared" si="3"/>
        <v>0</v>
      </c>
      <c r="L27" s="139">
        <f t="shared" si="4"/>
        <v>0</v>
      </c>
      <c r="M27" s="144">
        <v>0</v>
      </c>
      <c r="N27" s="139">
        <f t="shared" si="5"/>
        <v>0</v>
      </c>
      <c r="O27" s="144">
        <v>0</v>
      </c>
      <c r="P27" s="144">
        <v>0</v>
      </c>
      <c r="Q27" s="144">
        <f aca="true" t="shared" si="11" ref="Q27:Q56">IF(AND(E27&gt;=0,E27&lt;=4),(L27*-0.15-N27),IF(AND(E27&gt;=5,E27&lt;=6),(L27*-0.125-N27),IF(AND(E27&gt;=7,E27&lt;=7),(L27*-0.15-N27),IF(AND(E27&gt;=8,E27&lt;=11),(0),IF(AND(E27&gt;=12,E27&lt;=12),(L27*-0.06-N27))))))</f>
        <v>0</v>
      </c>
      <c r="R27" s="139">
        <f aca="true" t="shared" si="12" ref="R27:R56">SUM(M27:Q27)</f>
        <v>0</v>
      </c>
      <c r="S27" s="141">
        <v>0</v>
      </c>
      <c r="T27" s="139">
        <f t="shared" si="6"/>
        <v>0</v>
      </c>
      <c r="U27" s="134">
        <f aca="true" t="shared" si="13" ref="U27:U56">IF(B27&gt;150,((B27/(K27/14))*T27),(B27*T27))</f>
        <v>0</v>
      </c>
      <c r="V27" s="134">
        <f t="shared" si="7"/>
        <v>0</v>
      </c>
      <c r="W27" s="134">
        <f t="shared" si="8"/>
        <v>0</v>
      </c>
      <c r="X27" s="134">
        <f t="shared" si="9"/>
        <v>0</v>
      </c>
      <c r="Y27" s="134">
        <f aca="true" t="shared" si="14" ref="Y27:Y56">SUM(V27+W27+X27)</f>
        <v>0</v>
      </c>
      <c r="Z27" s="134">
        <f aca="true" t="shared" si="15" ref="Z27:Z56">SUM(U27:X27)</f>
        <v>0</v>
      </c>
      <c r="AA27" s="134">
        <f t="shared" si="10"/>
        <v>0</v>
      </c>
      <c r="AB27" s="135">
        <f aca="true" t="shared" si="16" ref="AB27:AB56">Z27+AA27</f>
        <v>0</v>
      </c>
      <c r="AC27" s="24"/>
      <c r="AD27" s="25"/>
      <c r="AE27" s="22"/>
      <c r="AF27" s="22"/>
      <c r="AG27" s="12"/>
      <c r="AH27" s="12"/>
      <c r="AI27" s="12"/>
      <c r="AJ27" s="12"/>
      <c r="AK27" s="12"/>
      <c r="AL27" s="12"/>
      <c r="AM27" s="12"/>
      <c r="AN27" s="12"/>
    </row>
    <row r="28" spans="1:40" ht="12.75">
      <c r="A28" s="145"/>
      <c r="B28" s="121"/>
      <c r="C28" s="146"/>
      <c r="D28" s="147"/>
      <c r="E28" s="144"/>
      <c r="F28" s="148"/>
      <c r="G28" s="148"/>
      <c r="H28" s="149"/>
      <c r="I28" s="49">
        <f t="shared" si="1"/>
        <v>2</v>
      </c>
      <c r="J28" s="109">
        <f t="shared" si="2"/>
        <v>2</v>
      </c>
      <c r="K28" s="139">
        <f t="shared" si="3"/>
        <v>0</v>
      </c>
      <c r="L28" s="139">
        <f t="shared" si="4"/>
        <v>0</v>
      </c>
      <c r="M28" s="144">
        <v>0</v>
      </c>
      <c r="N28" s="139">
        <f t="shared" si="5"/>
        <v>0</v>
      </c>
      <c r="O28" s="144">
        <v>0</v>
      </c>
      <c r="P28" s="144">
        <v>0</v>
      </c>
      <c r="Q28" s="144">
        <f t="shared" si="11"/>
        <v>0</v>
      </c>
      <c r="R28" s="139">
        <f t="shared" si="12"/>
        <v>0</v>
      </c>
      <c r="S28" s="141">
        <v>0</v>
      </c>
      <c r="T28" s="139">
        <f t="shared" si="6"/>
        <v>0</v>
      </c>
      <c r="U28" s="134">
        <f t="shared" si="13"/>
        <v>0</v>
      </c>
      <c r="V28" s="134">
        <f t="shared" si="7"/>
        <v>0</v>
      </c>
      <c r="W28" s="134">
        <f t="shared" si="8"/>
        <v>0</v>
      </c>
      <c r="X28" s="134">
        <f t="shared" si="9"/>
        <v>0</v>
      </c>
      <c r="Y28" s="134">
        <f t="shared" si="14"/>
        <v>0</v>
      </c>
      <c r="Z28" s="134">
        <f t="shared" si="15"/>
        <v>0</v>
      </c>
      <c r="AA28" s="134">
        <f t="shared" si="10"/>
        <v>0</v>
      </c>
      <c r="AB28" s="135">
        <f t="shared" si="16"/>
        <v>0</v>
      </c>
      <c r="AC28" s="11"/>
      <c r="AD28" s="12"/>
      <c r="AE28" s="22"/>
      <c r="AF28" s="2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145"/>
      <c r="B29" s="121"/>
      <c r="C29" s="146"/>
      <c r="D29" s="147"/>
      <c r="E29" s="144"/>
      <c r="F29" s="148"/>
      <c r="G29" s="148"/>
      <c r="H29" s="149"/>
      <c r="I29" s="49">
        <f t="shared" si="1"/>
        <v>2</v>
      </c>
      <c r="J29" s="109">
        <f t="shared" si="2"/>
        <v>2</v>
      </c>
      <c r="K29" s="139">
        <f t="shared" si="3"/>
        <v>0</v>
      </c>
      <c r="L29" s="139">
        <f t="shared" si="4"/>
        <v>0</v>
      </c>
      <c r="M29" s="144">
        <v>0</v>
      </c>
      <c r="N29" s="139">
        <f t="shared" si="5"/>
        <v>0</v>
      </c>
      <c r="O29" s="144">
        <v>0</v>
      </c>
      <c r="P29" s="144">
        <v>0</v>
      </c>
      <c r="Q29" s="144">
        <f t="shared" si="11"/>
        <v>0</v>
      </c>
      <c r="R29" s="139">
        <f t="shared" si="12"/>
        <v>0</v>
      </c>
      <c r="S29" s="141">
        <v>0</v>
      </c>
      <c r="T29" s="139">
        <f t="shared" si="6"/>
        <v>0</v>
      </c>
      <c r="U29" s="134">
        <f t="shared" si="13"/>
        <v>0</v>
      </c>
      <c r="V29" s="134">
        <f t="shared" si="7"/>
        <v>0</v>
      </c>
      <c r="W29" s="134">
        <f t="shared" si="8"/>
        <v>0</v>
      </c>
      <c r="X29" s="134">
        <f t="shared" si="9"/>
        <v>0</v>
      </c>
      <c r="Y29" s="134">
        <f t="shared" si="14"/>
        <v>0</v>
      </c>
      <c r="Z29" s="134">
        <f t="shared" si="15"/>
        <v>0</v>
      </c>
      <c r="AA29" s="134">
        <f t="shared" si="10"/>
        <v>0</v>
      </c>
      <c r="AB29" s="135">
        <f t="shared" si="16"/>
        <v>0</v>
      </c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 s="145"/>
      <c r="B30" s="121"/>
      <c r="C30" s="146"/>
      <c r="D30" s="147"/>
      <c r="E30" s="144"/>
      <c r="F30" s="148"/>
      <c r="G30" s="148"/>
      <c r="H30" s="149"/>
      <c r="I30" s="49">
        <f t="shared" si="1"/>
        <v>2</v>
      </c>
      <c r="J30" s="109">
        <f t="shared" si="2"/>
        <v>2</v>
      </c>
      <c r="K30" s="139">
        <f t="shared" si="3"/>
        <v>0</v>
      </c>
      <c r="L30" s="139">
        <f t="shared" si="4"/>
        <v>0</v>
      </c>
      <c r="M30" s="144">
        <v>0</v>
      </c>
      <c r="N30" s="139">
        <f t="shared" si="5"/>
        <v>0</v>
      </c>
      <c r="O30" s="144">
        <v>0</v>
      </c>
      <c r="P30" s="144">
        <v>0</v>
      </c>
      <c r="Q30" s="144">
        <f t="shared" si="11"/>
        <v>0</v>
      </c>
      <c r="R30" s="139">
        <f t="shared" si="12"/>
        <v>0</v>
      </c>
      <c r="S30" s="141">
        <v>0</v>
      </c>
      <c r="T30" s="139">
        <f t="shared" si="6"/>
        <v>0</v>
      </c>
      <c r="U30" s="134">
        <f t="shared" si="13"/>
        <v>0</v>
      </c>
      <c r="V30" s="134">
        <f t="shared" si="7"/>
        <v>0</v>
      </c>
      <c r="W30" s="134">
        <f t="shared" si="8"/>
        <v>0</v>
      </c>
      <c r="X30" s="134">
        <f t="shared" si="9"/>
        <v>0</v>
      </c>
      <c r="Y30" s="134">
        <f t="shared" si="14"/>
        <v>0</v>
      </c>
      <c r="Z30" s="134">
        <f t="shared" si="15"/>
        <v>0</v>
      </c>
      <c r="AA30" s="134">
        <f t="shared" si="10"/>
        <v>0</v>
      </c>
      <c r="AB30" s="135">
        <f t="shared" si="16"/>
        <v>0</v>
      </c>
      <c r="AC30" s="11"/>
      <c r="AD30" s="12"/>
      <c r="AE30" s="22"/>
      <c r="AF30" s="22"/>
      <c r="AG30" s="12"/>
      <c r="AH30" s="12"/>
      <c r="AI30" s="12"/>
      <c r="AJ30" s="12"/>
      <c r="AK30" s="12"/>
      <c r="AL30" s="12"/>
      <c r="AM30" s="12"/>
      <c r="AN30" s="12"/>
    </row>
    <row r="31" spans="1:40" ht="12.75">
      <c r="A31" s="145"/>
      <c r="B31" s="121"/>
      <c r="C31" s="146"/>
      <c r="D31" s="147"/>
      <c r="E31" s="144"/>
      <c r="F31" s="148"/>
      <c r="G31" s="148"/>
      <c r="H31" s="149"/>
      <c r="I31" s="49">
        <f t="shared" si="1"/>
        <v>2</v>
      </c>
      <c r="J31" s="109">
        <f t="shared" si="2"/>
        <v>2</v>
      </c>
      <c r="K31" s="139">
        <f t="shared" si="3"/>
        <v>0</v>
      </c>
      <c r="L31" s="139">
        <f t="shared" si="4"/>
        <v>0</v>
      </c>
      <c r="M31" s="144">
        <v>0</v>
      </c>
      <c r="N31" s="139">
        <f t="shared" si="5"/>
        <v>0</v>
      </c>
      <c r="O31" s="144">
        <v>0</v>
      </c>
      <c r="P31" s="144">
        <v>0</v>
      </c>
      <c r="Q31" s="144">
        <f t="shared" si="11"/>
        <v>0</v>
      </c>
      <c r="R31" s="139">
        <f t="shared" si="12"/>
        <v>0</v>
      </c>
      <c r="S31" s="141">
        <v>0</v>
      </c>
      <c r="T31" s="139">
        <f t="shared" si="6"/>
        <v>0</v>
      </c>
      <c r="U31" s="134">
        <f t="shared" si="13"/>
        <v>0</v>
      </c>
      <c r="V31" s="134">
        <f t="shared" si="7"/>
        <v>0</v>
      </c>
      <c r="W31" s="134">
        <f t="shared" si="8"/>
        <v>0</v>
      </c>
      <c r="X31" s="134">
        <f t="shared" si="9"/>
        <v>0</v>
      </c>
      <c r="Y31" s="134">
        <f t="shared" si="14"/>
        <v>0</v>
      </c>
      <c r="Z31" s="134">
        <f t="shared" si="15"/>
        <v>0</v>
      </c>
      <c r="AA31" s="134">
        <f t="shared" si="10"/>
        <v>0</v>
      </c>
      <c r="AB31" s="135">
        <f t="shared" si="16"/>
        <v>0</v>
      </c>
      <c r="AC31" s="24"/>
      <c r="AD31" s="12"/>
      <c r="AE31" s="22"/>
      <c r="AF31" s="22"/>
      <c r="AG31" s="12"/>
      <c r="AH31" s="12"/>
      <c r="AI31" s="12"/>
      <c r="AJ31" s="12"/>
      <c r="AK31" s="12"/>
      <c r="AL31" s="12"/>
      <c r="AM31" s="12"/>
      <c r="AN31" s="12"/>
    </row>
    <row r="32" spans="1:40" ht="12.75">
      <c r="A32" s="145"/>
      <c r="B32" s="121"/>
      <c r="C32" s="146"/>
      <c r="D32" s="147"/>
      <c r="E32" s="144"/>
      <c r="F32" s="148"/>
      <c r="G32" s="148"/>
      <c r="H32" s="149"/>
      <c r="I32" s="49">
        <f t="shared" si="1"/>
        <v>2</v>
      </c>
      <c r="J32" s="109">
        <f t="shared" si="2"/>
        <v>2</v>
      </c>
      <c r="K32" s="139">
        <f t="shared" si="3"/>
        <v>0</v>
      </c>
      <c r="L32" s="139">
        <f t="shared" si="4"/>
        <v>0</v>
      </c>
      <c r="M32" s="144">
        <v>0</v>
      </c>
      <c r="N32" s="139">
        <f t="shared" si="5"/>
        <v>0</v>
      </c>
      <c r="O32" s="144">
        <v>0</v>
      </c>
      <c r="P32" s="144">
        <v>0</v>
      </c>
      <c r="Q32" s="144">
        <f t="shared" si="11"/>
        <v>0</v>
      </c>
      <c r="R32" s="139">
        <f t="shared" si="12"/>
        <v>0</v>
      </c>
      <c r="S32" s="141">
        <v>0</v>
      </c>
      <c r="T32" s="139">
        <f t="shared" si="6"/>
        <v>0</v>
      </c>
      <c r="U32" s="134">
        <f t="shared" si="13"/>
        <v>0</v>
      </c>
      <c r="V32" s="134">
        <f t="shared" si="7"/>
        <v>0</v>
      </c>
      <c r="W32" s="134">
        <f t="shared" si="8"/>
        <v>0</v>
      </c>
      <c r="X32" s="134">
        <f t="shared" si="9"/>
        <v>0</v>
      </c>
      <c r="Y32" s="134">
        <f t="shared" si="14"/>
        <v>0</v>
      </c>
      <c r="Z32" s="134">
        <f t="shared" si="15"/>
        <v>0</v>
      </c>
      <c r="AA32" s="134">
        <f t="shared" si="10"/>
        <v>0</v>
      </c>
      <c r="AB32" s="135">
        <f t="shared" si="16"/>
        <v>0</v>
      </c>
      <c r="AC32" s="11"/>
      <c r="AD32" s="12"/>
      <c r="AE32" s="22"/>
      <c r="AF32" s="2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145"/>
      <c r="B33" s="121"/>
      <c r="C33" s="146"/>
      <c r="D33" s="147"/>
      <c r="E33" s="144"/>
      <c r="F33" s="148"/>
      <c r="G33" s="148"/>
      <c r="H33" s="149"/>
      <c r="I33" s="49">
        <f t="shared" si="1"/>
        <v>2</v>
      </c>
      <c r="J33" s="109">
        <f t="shared" si="2"/>
        <v>2</v>
      </c>
      <c r="K33" s="139">
        <f t="shared" si="3"/>
        <v>0</v>
      </c>
      <c r="L33" s="139">
        <f t="shared" si="4"/>
        <v>0</v>
      </c>
      <c r="M33" s="144">
        <v>0</v>
      </c>
      <c r="N33" s="139">
        <f t="shared" si="5"/>
        <v>0</v>
      </c>
      <c r="O33" s="144">
        <v>0</v>
      </c>
      <c r="P33" s="144">
        <v>0</v>
      </c>
      <c r="Q33" s="144">
        <f t="shared" si="11"/>
        <v>0</v>
      </c>
      <c r="R33" s="139">
        <f t="shared" si="12"/>
        <v>0</v>
      </c>
      <c r="S33" s="141">
        <v>0</v>
      </c>
      <c r="T33" s="139">
        <f t="shared" si="6"/>
        <v>0</v>
      </c>
      <c r="U33" s="134">
        <f t="shared" si="13"/>
        <v>0</v>
      </c>
      <c r="V33" s="134">
        <f t="shared" si="7"/>
        <v>0</v>
      </c>
      <c r="W33" s="134">
        <f t="shared" si="8"/>
        <v>0</v>
      </c>
      <c r="X33" s="134">
        <f t="shared" si="9"/>
        <v>0</v>
      </c>
      <c r="Y33" s="134">
        <f t="shared" si="14"/>
        <v>0</v>
      </c>
      <c r="Z33" s="134">
        <f t="shared" si="15"/>
        <v>0</v>
      </c>
      <c r="AA33" s="134">
        <f t="shared" si="10"/>
        <v>0</v>
      </c>
      <c r="AB33" s="135">
        <f t="shared" si="16"/>
        <v>0</v>
      </c>
      <c r="AC33" s="11"/>
      <c r="AD33" s="12"/>
      <c r="AE33" s="22"/>
      <c r="AF33" s="22"/>
      <c r="AG33" s="12"/>
      <c r="AH33" s="12"/>
      <c r="AI33" s="12"/>
      <c r="AJ33" s="12"/>
      <c r="AK33" s="12"/>
      <c r="AL33" s="12"/>
      <c r="AM33" s="12"/>
      <c r="AN33" s="12"/>
    </row>
    <row r="34" spans="1:40" ht="12.75">
      <c r="A34" s="145"/>
      <c r="B34" s="121"/>
      <c r="C34" s="146"/>
      <c r="D34" s="147"/>
      <c r="E34" s="144"/>
      <c r="F34" s="148"/>
      <c r="G34" s="148"/>
      <c r="H34" s="149"/>
      <c r="I34" s="49">
        <f t="shared" si="1"/>
        <v>2</v>
      </c>
      <c r="J34" s="109">
        <f t="shared" si="2"/>
        <v>2</v>
      </c>
      <c r="K34" s="139">
        <f t="shared" si="3"/>
        <v>0</v>
      </c>
      <c r="L34" s="139">
        <f t="shared" si="4"/>
        <v>0</v>
      </c>
      <c r="M34" s="144">
        <v>0</v>
      </c>
      <c r="N34" s="139">
        <f t="shared" si="5"/>
        <v>0</v>
      </c>
      <c r="O34" s="144">
        <v>0</v>
      </c>
      <c r="P34" s="144">
        <v>0</v>
      </c>
      <c r="Q34" s="144">
        <f t="shared" si="11"/>
        <v>0</v>
      </c>
      <c r="R34" s="139">
        <f t="shared" si="12"/>
        <v>0</v>
      </c>
      <c r="S34" s="141">
        <v>0</v>
      </c>
      <c r="T34" s="139">
        <f t="shared" si="6"/>
        <v>0</v>
      </c>
      <c r="U34" s="134">
        <f t="shared" si="13"/>
        <v>0</v>
      </c>
      <c r="V34" s="134">
        <f t="shared" si="7"/>
        <v>0</v>
      </c>
      <c r="W34" s="134">
        <f t="shared" si="8"/>
        <v>0</v>
      </c>
      <c r="X34" s="134">
        <f t="shared" si="9"/>
        <v>0</v>
      </c>
      <c r="Y34" s="134">
        <f t="shared" si="14"/>
        <v>0</v>
      </c>
      <c r="Z34" s="134">
        <f t="shared" si="15"/>
        <v>0</v>
      </c>
      <c r="AA34" s="134">
        <f t="shared" si="10"/>
        <v>0</v>
      </c>
      <c r="AB34" s="135">
        <f t="shared" si="16"/>
        <v>0</v>
      </c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>
      <c r="A35" s="145"/>
      <c r="B35" s="121"/>
      <c r="C35" s="146"/>
      <c r="D35" s="147"/>
      <c r="E35" s="144"/>
      <c r="F35" s="148"/>
      <c r="G35" s="148"/>
      <c r="H35" s="149"/>
      <c r="I35" s="49">
        <f t="shared" si="1"/>
        <v>2</v>
      </c>
      <c r="J35" s="109">
        <f t="shared" si="2"/>
        <v>2</v>
      </c>
      <c r="K35" s="139">
        <f t="shared" si="3"/>
        <v>0</v>
      </c>
      <c r="L35" s="139">
        <f t="shared" si="4"/>
        <v>0</v>
      </c>
      <c r="M35" s="144">
        <v>0</v>
      </c>
      <c r="N35" s="139">
        <f t="shared" si="5"/>
        <v>0</v>
      </c>
      <c r="O35" s="144">
        <v>0</v>
      </c>
      <c r="P35" s="144">
        <v>0</v>
      </c>
      <c r="Q35" s="144">
        <f t="shared" si="11"/>
        <v>0</v>
      </c>
      <c r="R35" s="139">
        <f t="shared" si="12"/>
        <v>0</v>
      </c>
      <c r="S35" s="141">
        <v>0</v>
      </c>
      <c r="T35" s="139">
        <f t="shared" si="6"/>
        <v>0</v>
      </c>
      <c r="U35" s="134">
        <f t="shared" si="13"/>
        <v>0</v>
      </c>
      <c r="V35" s="134">
        <f t="shared" si="7"/>
        <v>0</v>
      </c>
      <c r="W35" s="134">
        <f t="shared" si="8"/>
        <v>0</v>
      </c>
      <c r="X35" s="134">
        <f t="shared" si="9"/>
        <v>0</v>
      </c>
      <c r="Y35" s="134">
        <f t="shared" si="14"/>
        <v>0</v>
      </c>
      <c r="Z35" s="134">
        <f t="shared" si="15"/>
        <v>0</v>
      </c>
      <c r="AA35" s="134">
        <f t="shared" si="10"/>
        <v>0</v>
      </c>
      <c r="AB35" s="135">
        <f t="shared" si="16"/>
        <v>0</v>
      </c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>
      <c r="A36" s="145"/>
      <c r="B36" s="121"/>
      <c r="C36" s="146"/>
      <c r="D36" s="147"/>
      <c r="E36" s="144"/>
      <c r="F36" s="148"/>
      <c r="G36" s="148"/>
      <c r="H36" s="149"/>
      <c r="I36" s="49">
        <f t="shared" si="1"/>
        <v>2</v>
      </c>
      <c r="J36" s="109">
        <f t="shared" si="2"/>
        <v>2</v>
      </c>
      <c r="K36" s="139">
        <f t="shared" si="3"/>
        <v>0</v>
      </c>
      <c r="L36" s="139">
        <f t="shared" si="4"/>
        <v>0</v>
      </c>
      <c r="M36" s="144">
        <v>0</v>
      </c>
      <c r="N36" s="139">
        <f t="shared" si="5"/>
        <v>0</v>
      </c>
      <c r="O36" s="144">
        <v>0</v>
      </c>
      <c r="P36" s="144">
        <v>0</v>
      </c>
      <c r="Q36" s="144">
        <f t="shared" si="11"/>
        <v>0</v>
      </c>
      <c r="R36" s="139">
        <f t="shared" si="12"/>
        <v>0</v>
      </c>
      <c r="S36" s="141">
        <v>0</v>
      </c>
      <c r="T36" s="139">
        <f t="shared" si="6"/>
        <v>0</v>
      </c>
      <c r="U36" s="134">
        <f t="shared" si="13"/>
        <v>0</v>
      </c>
      <c r="V36" s="134">
        <f t="shared" si="7"/>
        <v>0</v>
      </c>
      <c r="W36" s="134">
        <f t="shared" si="8"/>
        <v>0</v>
      </c>
      <c r="X36" s="134">
        <f t="shared" si="9"/>
        <v>0</v>
      </c>
      <c r="Y36" s="134">
        <f t="shared" si="14"/>
        <v>0</v>
      </c>
      <c r="Z36" s="134">
        <f t="shared" si="15"/>
        <v>0</v>
      </c>
      <c r="AA36" s="134">
        <f t="shared" si="10"/>
        <v>0</v>
      </c>
      <c r="AB36" s="135">
        <f t="shared" si="16"/>
        <v>0</v>
      </c>
      <c r="AC36" s="11"/>
      <c r="AD36" s="12"/>
      <c r="AE36" s="22"/>
      <c r="AF36" s="22"/>
      <c r="AG36" s="12"/>
      <c r="AH36" s="12"/>
      <c r="AI36" s="12"/>
      <c r="AJ36" s="12"/>
      <c r="AK36" s="12"/>
      <c r="AL36" s="12"/>
      <c r="AM36" s="12"/>
      <c r="AN36" s="12"/>
    </row>
    <row r="37" spans="1:40" ht="12.75">
      <c r="A37" s="145"/>
      <c r="B37" s="121"/>
      <c r="C37" s="146"/>
      <c r="D37" s="147"/>
      <c r="E37" s="144"/>
      <c r="F37" s="148"/>
      <c r="G37" s="148"/>
      <c r="H37" s="149"/>
      <c r="I37" s="49">
        <f t="shared" si="1"/>
        <v>2</v>
      </c>
      <c r="J37" s="109">
        <f t="shared" si="2"/>
        <v>2</v>
      </c>
      <c r="K37" s="139">
        <f t="shared" si="3"/>
        <v>0</v>
      </c>
      <c r="L37" s="139">
        <f t="shared" si="4"/>
        <v>0</v>
      </c>
      <c r="M37" s="144">
        <v>0</v>
      </c>
      <c r="N37" s="139">
        <f t="shared" si="5"/>
        <v>0</v>
      </c>
      <c r="O37" s="144">
        <v>0</v>
      </c>
      <c r="P37" s="144">
        <v>0</v>
      </c>
      <c r="Q37" s="144">
        <f t="shared" si="11"/>
        <v>0</v>
      </c>
      <c r="R37" s="139">
        <f t="shared" si="12"/>
        <v>0</v>
      </c>
      <c r="S37" s="141">
        <v>0</v>
      </c>
      <c r="T37" s="139">
        <f t="shared" si="6"/>
        <v>0</v>
      </c>
      <c r="U37" s="134">
        <f t="shared" si="13"/>
        <v>0</v>
      </c>
      <c r="V37" s="134">
        <f t="shared" si="7"/>
        <v>0</v>
      </c>
      <c r="W37" s="134">
        <f t="shared" si="8"/>
        <v>0</v>
      </c>
      <c r="X37" s="134">
        <f t="shared" si="9"/>
        <v>0</v>
      </c>
      <c r="Y37" s="134">
        <f t="shared" si="14"/>
        <v>0</v>
      </c>
      <c r="Z37" s="134">
        <f t="shared" si="15"/>
        <v>0</v>
      </c>
      <c r="AA37" s="134">
        <f t="shared" si="10"/>
        <v>0</v>
      </c>
      <c r="AB37" s="135">
        <f t="shared" si="16"/>
        <v>0</v>
      </c>
      <c r="AC37" s="11"/>
      <c r="AD37" s="12"/>
      <c r="AE37" s="22"/>
      <c r="AF37" s="22"/>
      <c r="AG37" s="12"/>
      <c r="AH37" s="12"/>
      <c r="AI37" s="12"/>
      <c r="AJ37" s="12"/>
      <c r="AK37" s="12"/>
      <c r="AL37" s="12"/>
      <c r="AM37" s="12"/>
      <c r="AN37" s="12"/>
    </row>
    <row r="38" spans="1:40" ht="12.75">
      <c r="A38" s="145"/>
      <c r="B38" s="150"/>
      <c r="C38" s="146"/>
      <c r="D38" s="147"/>
      <c r="E38" s="144"/>
      <c r="F38" s="151"/>
      <c r="G38" s="151"/>
      <c r="H38" s="149"/>
      <c r="I38" s="49">
        <f t="shared" si="1"/>
        <v>2</v>
      </c>
      <c r="J38" s="109">
        <f t="shared" si="2"/>
        <v>2</v>
      </c>
      <c r="K38" s="139">
        <f t="shared" si="3"/>
        <v>0</v>
      </c>
      <c r="L38" s="139">
        <f t="shared" si="4"/>
        <v>0</v>
      </c>
      <c r="M38" s="144">
        <v>0</v>
      </c>
      <c r="N38" s="139">
        <f t="shared" si="5"/>
        <v>0</v>
      </c>
      <c r="O38" s="144">
        <v>0</v>
      </c>
      <c r="P38" s="144">
        <v>0</v>
      </c>
      <c r="Q38" s="144">
        <f t="shared" si="11"/>
        <v>0</v>
      </c>
      <c r="R38" s="139">
        <f t="shared" si="12"/>
        <v>0</v>
      </c>
      <c r="S38" s="141">
        <v>0</v>
      </c>
      <c r="T38" s="139">
        <f t="shared" si="6"/>
        <v>0</v>
      </c>
      <c r="U38" s="134">
        <f t="shared" si="13"/>
        <v>0</v>
      </c>
      <c r="V38" s="134">
        <f t="shared" si="7"/>
        <v>0</v>
      </c>
      <c r="W38" s="134">
        <f t="shared" si="8"/>
        <v>0</v>
      </c>
      <c r="X38" s="134">
        <f t="shared" si="9"/>
        <v>0</v>
      </c>
      <c r="Y38" s="134">
        <f t="shared" si="14"/>
        <v>0</v>
      </c>
      <c r="Z38" s="134">
        <f t="shared" si="15"/>
        <v>0</v>
      </c>
      <c r="AA38" s="134">
        <f t="shared" si="10"/>
        <v>0</v>
      </c>
      <c r="AB38" s="135">
        <f t="shared" si="16"/>
        <v>0</v>
      </c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145"/>
      <c r="B39" s="150"/>
      <c r="C39" s="146"/>
      <c r="D39" s="147"/>
      <c r="E39" s="144"/>
      <c r="F39" s="151"/>
      <c r="G39" s="151"/>
      <c r="H39" s="149"/>
      <c r="I39" s="49">
        <f t="shared" si="1"/>
        <v>2</v>
      </c>
      <c r="J39" s="109">
        <f t="shared" si="2"/>
        <v>2</v>
      </c>
      <c r="K39" s="139">
        <f t="shared" si="3"/>
        <v>0</v>
      </c>
      <c r="L39" s="139">
        <f t="shared" si="4"/>
        <v>0</v>
      </c>
      <c r="M39" s="144">
        <v>0</v>
      </c>
      <c r="N39" s="139">
        <f t="shared" si="5"/>
        <v>0</v>
      </c>
      <c r="O39" s="144">
        <v>0</v>
      </c>
      <c r="P39" s="144">
        <v>0</v>
      </c>
      <c r="Q39" s="144">
        <f t="shared" si="11"/>
        <v>0</v>
      </c>
      <c r="R39" s="139">
        <f t="shared" si="12"/>
        <v>0</v>
      </c>
      <c r="S39" s="141">
        <v>0</v>
      </c>
      <c r="T39" s="139">
        <f t="shared" si="6"/>
        <v>0</v>
      </c>
      <c r="U39" s="134">
        <f t="shared" si="13"/>
        <v>0</v>
      </c>
      <c r="V39" s="134">
        <f t="shared" si="7"/>
        <v>0</v>
      </c>
      <c r="W39" s="134">
        <f t="shared" si="8"/>
        <v>0</v>
      </c>
      <c r="X39" s="134">
        <f t="shared" si="9"/>
        <v>0</v>
      </c>
      <c r="Y39" s="134">
        <f t="shared" si="14"/>
        <v>0</v>
      </c>
      <c r="Z39" s="134">
        <f t="shared" si="15"/>
        <v>0</v>
      </c>
      <c r="AA39" s="134">
        <f t="shared" si="10"/>
        <v>0</v>
      </c>
      <c r="AB39" s="135">
        <f t="shared" si="16"/>
        <v>0</v>
      </c>
      <c r="AC39" s="11"/>
      <c r="AD39" s="12"/>
      <c r="AE39" s="22"/>
      <c r="AF39" s="2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145"/>
      <c r="B40" s="150"/>
      <c r="C40" s="146"/>
      <c r="D40" s="147"/>
      <c r="E40" s="144"/>
      <c r="F40" s="151"/>
      <c r="G40" s="151"/>
      <c r="H40" s="149"/>
      <c r="I40" s="49">
        <f t="shared" si="1"/>
        <v>2</v>
      </c>
      <c r="J40" s="109">
        <f t="shared" si="2"/>
        <v>2</v>
      </c>
      <c r="K40" s="139">
        <f t="shared" si="3"/>
        <v>0</v>
      </c>
      <c r="L40" s="139">
        <f t="shared" si="4"/>
        <v>0</v>
      </c>
      <c r="M40" s="144">
        <v>0</v>
      </c>
      <c r="N40" s="139">
        <f t="shared" si="5"/>
        <v>0</v>
      </c>
      <c r="O40" s="144">
        <v>0</v>
      </c>
      <c r="P40" s="144">
        <v>0</v>
      </c>
      <c r="Q40" s="144">
        <f t="shared" si="11"/>
        <v>0</v>
      </c>
      <c r="R40" s="139">
        <f t="shared" si="12"/>
        <v>0</v>
      </c>
      <c r="S40" s="141">
        <v>0</v>
      </c>
      <c r="T40" s="139">
        <f t="shared" si="6"/>
        <v>0</v>
      </c>
      <c r="U40" s="134">
        <f t="shared" si="13"/>
        <v>0</v>
      </c>
      <c r="V40" s="134">
        <f t="shared" si="7"/>
        <v>0</v>
      </c>
      <c r="W40" s="134">
        <f t="shared" si="8"/>
        <v>0</v>
      </c>
      <c r="X40" s="134">
        <f t="shared" si="9"/>
        <v>0</v>
      </c>
      <c r="Y40" s="134">
        <f t="shared" si="14"/>
        <v>0</v>
      </c>
      <c r="Z40" s="134">
        <f t="shared" si="15"/>
        <v>0</v>
      </c>
      <c r="AA40" s="134">
        <f t="shared" si="10"/>
        <v>0</v>
      </c>
      <c r="AB40" s="135">
        <f t="shared" si="16"/>
        <v>0</v>
      </c>
      <c r="AC40" s="11"/>
      <c r="AD40" s="12"/>
      <c r="AE40" s="22"/>
      <c r="AF40" s="22"/>
      <c r="AG40" s="12"/>
      <c r="AH40" s="12"/>
      <c r="AI40" s="12"/>
      <c r="AJ40" s="12"/>
      <c r="AK40" s="12"/>
      <c r="AL40" s="12"/>
      <c r="AM40" s="12"/>
      <c r="AN40" s="12"/>
    </row>
    <row r="41" spans="1:40" ht="12.75">
      <c r="A41" s="145"/>
      <c r="B41" s="150"/>
      <c r="C41" s="146"/>
      <c r="D41" s="147"/>
      <c r="E41" s="144"/>
      <c r="F41" s="151"/>
      <c r="G41" s="151"/>
      <c r="H41" s="149"/>
      <c r="I41" s="49">
        <f t="shared" si="1"/>
        <v>2</v>
      </c>
      <c r="J41" s="109">
        <f t="shared" si="2"/>
        <v>2</v>
      </c>
      <c r="K41" s="139">
        <f t="shared" si="3"/>
        <v>0</v>
      </c>
      <c r="L41" s="139">
        <f t="shared" si="4"/>
        <v>0</v>
      </c>
      <c r="M41" s="144">
        <v>0</v>
      </c>
      <c r="N41" s="139">
        <f t="shared" si="5"/>
        <v>0</v>
      </c>
      <c r="O41" s="144">
        <v>0</v>
      </c>
      <c r="P41" s="144">
        <v>0</v>
      </c>
      <c r="Q41" s="144">
        <f t="shared" si="11"/>
        <v>0</v>
      </c>
      <c r="R41" s="139">
        <f t="shared" si="12"/>
        <v>0</v>
      </c>
      <c r="S41" s="141">
        <v>0</v>
      </c>
      <c r="T41" s="139">
        <f t="shared" si="6"/>
        <v>0</v>
      </c>
      <c r="U41" s="134">
        <f t="shared" si="13"/>
        <v>0</v>
      </c>
      <c r="V41" s="134">
        <f t="shared" si="7"/>
        <v>0</v>
      </c>
      <c r="W41" s="134">
        <f t="shared" si="8"/>
        <v>0</v>
      </c>
      <c r="X41" s="134">
        <f t="shared" si="9"/>
        <v>0</v>
      </c>
      <c r="Y41" s="134">
        <f t="shared" si="14"/>
        <v>0</v>
      </c>
      <c r="Z41" s="134">
        <f t="shared" si="15"/>
        <v>0</v>
      </c>
      <c r="AA41" s="134">
        <f t="shared" si="10"/>
        <v>0</v>
      </c>
      <c r="AB41" s="135">
        <f t="shared" si="16"/>
        <v>0</v>
      </c>
      <c r="AC41" s="11"/>
      <c r="AD41" s="12"/>
      <c r="AE41" s="22"/>
      <c r="AF41" s="22"/>
      <c r="AG41" s="12"/>
      <c r="AH41" s="12"/>
      <c r="AI41" s="12"/>
      <c r="AJ41" s="12"/>
      <c r="AK41" s="12"/>
      <c r="AL41" s="12"/>
      <c r="AM41" s="12"/>
      <c r="AN41" s="12"/>
    </row>
    <row r="42" spans="1:40" ht="12.75">
      <c r="A42" s="145"/>
      <c r="B42" s="150"/>
      <c r="C42" s="146"/>
      <c r="D42" s="147"/>
      <c r="E42" s="144"/>
      <c r="F42" s="151"/>
      <c r="G42" s="151"/>
      <c r="H42" s="149"/>
      <c r="I42" s="49">
        <f t="shared" si="1"/>
        <v>2</v>
      </c>
      <c r="J42" s="109">
        <f t="shared" si="2"/>
        <v>2</v>
      </c>
      <c r="K42" s="139">
        <f t="shared" si="3"/>
        <v>0</v>
      </c>
      <c r="L42" s="139">
        <f t="shared" si="4"/>
        <v>0</v>
      </c>
      <c r="M42" s="144">
        <v>0</v>
      </c>
      <c r="N42" s="139">
        <f t="shared" si="5"/>
        <v>0</v>
      </c>
      <c r="O42" s="144">
        <v>0</v>
      </c>
      <c r="P42" s="144">
        <v>0</v>
      </c>
      <c r="Q42" s="144">
        <f t="shared" si="11"/>
        <v>0</v>
      </c>
      <c r="R42" s="139">
        <f t="shared" si="12"/>
        <v>0</v>
      </c>
      <c r="S42" s="141">
        <v>0</v>
      </c>
      <c r="T42" s="139">
        <f t="shared" si="6"/>
        <v>0</v>
      </c>
      <c r="U42" s="134">
        <f t="shared" si="13"/>
        <v>0</v>
      </c>
      <c r="V42" s="134">
        <f t="shared" si="7"/>
        <v>0</v>
      </c>
      <c r="W42" s="134">
        <f t="shared" si="8"/>
        <v>0</v>
      </c>
      <c r="X42" s="134">
        <f t="shared" si="9"/>
        <v>0</v>
      </c>
      <c r="Y42" s="134">
        <f t="shared" si="14"/>
        <v>0</v>
      </c>
      <c r="Z42" s="134">
        <f t="shared" si="15"/>
        <v>0</v>
      </c>
      <c r="AA42" s="134">
        <f t="shared" si="10"/>
        <v>0</v>
      </c>
      <c r="AB42" s="135">
        <f t="shared" si="16"/>
        <v>0</v>
      </c>
      <c r="AC42" s="11"/>
      <c r="AD42" s="12"/>
      <c r="AE42" s="22"/>
      <c r="AF42" s="22"/>
      <c r="AG42" s="12"/>
      <c r="AH42" s="12"/>
      <c r="AI42" s="12"/>
      <c r="AJ42" s="12"/>
      <c r="AK42" s="12"/>
      <c r="AL42" s="12"/>
      <c r="AM42" s="12"/>
      <c r="AN42" s="12"/>
    </row>
    <row r="43" spans="1:40" ht="12.75">
      <c r="A43" s="145"/>
      <c r="B43" s="150"/>
      <c r="C43" s="146"/>
      <c r="D43" s="147"/>
      <c r="E43" s="144"/>
      <c r="F43" s="151"/>
      <c r="G43" s="151"/>
      <c r="H43" s="149"/>
      <c r="I43" s="49">
        <f t="shared" si="1"/>
        <v>2</v>
      </c>
      <c r="J43" s="109">
        <f t="shared" si="2"/>
        <v>2</v>
      </c>
      <c r="K43" s="139">
        <f t="shared" si="3"/>
        <v>0</v>
      </c>
      <c r="L43" s="139">
        <f t="shared" si="4"/>
        <v>0</v>
      </c>
      <c r="M43" s="144">
        <v>0</v>
      </c>
      <c r="N43" s="139">
        <f t="shared" si="5"/>
        <v>0</v>
      </c>
      <c r="O43" s="144">
        <v>0</v>
      </c>
      <c r="P43" s="144">
        <v>0</v>
      </c>
      <c r="Q43" s="144">
        <f t="shared" si="11"/>
        <v>0</v>
      </c>
      <c r="R43" s="139">
        <f aca="true" t="shared" si="17" ref="R43:R53">SUM(M43:Q43)</f>
        <v>0</v>
      </c>
      <c r="S43" s="141">
        <v>0</v>
      </c>
      <c r="T43" s="139">
        <f t="shared" si="6"/>
        <v>0</v>
      </c>
      <c r="U43" s="134">
        <f t="shared" si="13"/>
        <v>0</v>
      </c>
      <c r="V43" s="134">
        <f t="shared" si="7"/>
        <v>0</v>
      </c>
      <c r="W43" s="134">
        <f t="shared" si="8"/>
        <v>0</v>
      </c>
      <c r="X43" s="134">
        <f t="shared" si="9"/>
        <v>0</v>
      </c>
      <c r="Y43" s="134">
        <f aca="true" t="shared" si="18" ref="Y43:Y53">SUM(V43+W43+X43)</f>
        <v>0</v>
      </c>
      <c r="Z43" s="134">
        <f aca="true" t="shared" si="19" ref="Z43:Z53">SUM(U43:X43)</f>
        <v>0</v>
      </c>
      <c r="AA43" s="134">
        <f t="shared" si="10"/>
        <v>0</v>
      </c>
      <c r="AB43" s="135">
        <f aca="true" t="shared" si="20" ref="AB43:AB53">Z43+AA43</f>
        <v>0</v>
      </c>
      <c r="AC43" s="11"/>
      <c r="AD43" s="12"/>
      <c r="AE43" s="22"/>
      <c r="AF43" s="2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145"/>
      <c r="B44" s="150"/>
      <c r="C44" s="146"/>
      <c r="D44" s="147"/>
      <c r="E44" s="144"/>
      <c r="F44" s="151"/>
      <c r="G44" s="151"/>
      <c r="H44" s="149"/>
      <c r="I44" s="49">
        <f t="shared" si="1"/>
        <v>2</v>
      </c>
      <c r="J44" s="109">
        <f t="shared" si="2"/>
        <v>2</v>
      </c>
      <c r="K44" s="139">
        <f t="shared" si="3"/>
        <v>0</v>
      </c>
      <c r="L44" s="139">
        <f t="shared" si="4"/>
        <v>0</v>
      </c>
      <c r="M44" s="144">
        <v>0</v>
      </c>
      <c r="N44" s="139">
        <f t="shared" si="5"/>
        <v>0</v>
      </c>
      <c r="O44" s="144">
        <v>0</v>
      </c>
      <c r="P44" s="144">
        <v>0</v>
      </c>
      <c r="Q44" s="144">
        <f t="shared" si="11"/>
        <v>0</v>
      </c>
      <c r="R44" s="139">
        <f t="shared" si="17"/>
        <v>0</v>
      </c>
      <c r="S44" s="141">
        <v>0</v>
      </c>
      <c r="T44" s="139">
        <f t="shared" si="6"/>
        <v>0</v>
      </c>
      <c r="U44" s="134">
        <f t="shared" si="13"/>
        <v>0</v>
      </c>
      <c r="V44" s="134">
        <f t="shared" si="7"/>
        <v>0</v>
      </c>
      <c r="W44" s="134">
        <f t="shared" si="8"/>
        <v>0</v>
      </c>
      <c r="X44" s="134">
        <f t="shared" si="9"/>
        <v>0</v>
      </c>
      <c r="Y44" s="134">
        <f t="shared" si="18"/>
        <v>0</v>
      </c>
      <c r="Z44" s="134">
        <f t="shared" si="19"/>
        <v>0</v>
      </c>
      <c r="AA44" s="134">
        <f t="shared" si="10"/>
        <v>0</v>
      </c>
      <c r="AB44" s="135">
        <f t="shared" si="20"/>
        <v>0</v>
      </c>
      <c r="AC44" s="11"/>
      <c r="AD44" s="12"/>
      <c r="AE44" s="22"/>
      <c r="AF44" s="2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145"/>
      <c r="B45" s="150"/>
      <c r="C45" s="146"/>
      <c r="D45" s="147"/>
      <c r="E45" s="144"/>
      <c r="F45" s="151"/>
      <c r="G45" s="151"/>
      <c r="H45" s="149"/>
      <c r="I45" s="49">
        <f t="shared" si="1"/>
        <v>2</v>
      </c>
      <c r="J45" s="109">
        <f t="shared" si="2"/>
        <v>2</v>
      </c>
      <c r="K45" s="139">
        <f t="shared" si="3"/>
        <v>0</v>
      </c>
      <c r="L45" s="139">
        <f t="shared" si="4"/>
        <v>0</v>
      </c>
      <c r="M45" s="144">
        <v>0</v>
      </c>
      <c r="N45" s="139">
        <f t="shared" si="5"/>
        <v>0</v>
      </c>
      <c r="O45" s="144">
        <v>0</v>
      </c>
      <c r="P45" s="144">
        <v>0</v>
      </c>
      <c r="Q45" s="144">
        <f t="shared" si="11"/>
        <v>0</v>
      </c>
      <c r="R45" s="139">
        <f t="shared" si="17"/>
        <v>0</v>
      </c>
      <c r="S45" s="141">
        <v>0</v>
      </c>
      <c r="T45" s="139">
        <f t="shared" si="6"/>
        <v>0</v>
      </c>
      <c r="U45" s="134">
        <f t="shared" si="13"/>
        <v>0</v>
      </c>
      <c r="V45" s="134">
        <f t="shared" si="7"/>
        <v>0</v>
      </c>
      <c r="W45" s="134">
        <f t="shared" si="8"/>
        <v>0</v>
      </c>
      <c r="X45" s="134">
        <f t="shared" si="9"/>
        <v>0</v>
      </c>
      <c r="Y45" s="134">
        <f t="shared" si="18"/>
        <v>0</v>
      </c>
      <c r="Z45" s="134">
        <f t="shared" si="19"/>
        <v>0</v>
      </c>
      <c r="AA45" s="134">
        <f t="shared" si="10"/>
        <v>0</v>
      </c>
      <c r="AB45" s="135">
        <f t="shared" si="20"/>
        <v>0</v>
      </c>
      <c r="AC45" s="11"/>
      <c r="AD45" s="12"/>
      <c r="AE45" s="22"/>
      <c r="AF45" s="2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145"/>
      <c r="B46" s="150"/>
      <c r="C46" s="146"/>
      <c r="D46" s="147"/>
      <c r="E46" s="144"/>
      <c r="F46" s="151"/>
      <c r="G46" s="151"/>
      <c r="H46" s="149"/>
      <c r="I46" s="49">
        <f t="shared" si="1"/>
        <v>2</v>
      </c>
      <c r="J46" s="109">
        <f t="shared" si="2"/>
        <v>2</v>
      </c>
      <c r="K46" s="139">
        <f t="shared" si="3"/>
        <v>0</v>
      </c>
      <c r="L46" s="139">
        <f t="shared" si="4"/>
        <v>0</v>
      </c>
      <c r="M46" s="144">
        <v>0</v>
      </c>
      <c r="N46" s="139">
        <f t="shared" si="5"/>
        <v>0</v>
      </c>
      <c r="O46" s="144">
        <v>0</v>
      </c>
      <c r="P46" s="144">
        <v>0</v>
      </c>
      <c r="Q46" s="144">
        <f t="shared" si="11"/>
        <v>0</v>
      </c>
      <c r="R46" s="139">
        <f t="shared" si="17"/>
        <v>0</v>
      </c>
      <c r="S46" s="141">
        <v>0</v>
      </c>
      <c r="T46" s="139">
        <f t="shared" si="6"/>
        <v>0</v>
      </c>
      <c r="U46" s="134">
        <f t="shared" si="13"/>
        <v>0</v>
      </c>
      <c r="V46" s="134">
        <f t="shared" si="7"/>
        <v>0</v>
      </c>
      <c r="W46" s="134">
        <f t="shared" si="8"/>
        <v>0</v>
      </c>
      <c r="X46" s="134">
        <f t="shared" si="9"/>
        <v>0</v>
      </c>
      <c r="Y46" s="134">
        <f t="shared" si="18"/>
        <v>0</v>
      </c>
      <c r="Z46" s="134">
        <f t="shared" si="19"/>
        <v>0</v>
      </c>
      <c r="AA46" s="134">
        <f t="shared" si="10"/>
        <v>0</v>
      </c>
      <c r="AB46" s="135">
        <f t="shared" si="20"/>
        <v>0</v>
      </c>
      <c r="AC46" s="11"/>
      <c r="AD46" s="12"/>
      <c r="AE46" s="22"/>
      <c r="AF46" s="2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145"/>
      <c r="B47" s="150"/>
      <c r="C47" s="146"/>
      <c r="D47" s="147"/>
      <c r="E47" s="144"/>
      <c r="F47" s="151"/>
      <c r="G47" s="151"/>
      <c r="H47" s="149"/>
      <c r="I47" s="49">
        <f t="shared" si="1"/>
        <v>2</v>
      </c>
      <c r="J47" s="109">
        <f t="shared" si="2"/>
        <v>2</v>
      </c>
      <c r="K47" s="139">
        <f t="shared" si="3"/>
        <v>0</v>
      </c>
      <c r="L47" s="139">
        <f t="shared" si="4"/>
        <v>0</v>
      </c>
      <c r="M47" s="144">
        <v>0</v>
      </c>
      <c r="N47" s="139">
        <f t="shared" si="5"/>
        <v>0</v>
      </c>
      <c r="O47" s="144">
        <v>0</v>
      </c>
      <c r="P47" s="144">
        <v>0</v>
      </c>
      <c r="Q47" s="144">
        <f t="shared" si="11"/>
        <v>0</v>
      </c>
      <c r="R47" s="139">
        <f t="shared" si="17"/>
        <v>0</v>
      </c>
      <c r="S47" s="141">
        <v>0</v>
      </c>
      <c r="T47" s="139">
        <f t="shared" si="6"/>
        <v>0</v>
      </c>
      <c r="U47" s="134">
        <f t="shared" si="13"/>
        <v>0</v>
      </c>
      <c r="V47" s="134">
        <f t="shared" si="7"/>
        <v>0</v>
      </c>
      <c r="W47" s="134">
        <f t="shared" si="8"/>
        <v>0</v>
      </c>
      <c r="X47" s="134">
        <f t="shared" si="9"/>
        <v>0</v>
      </c>
      <c r="Y47" s="134">
        <f t="shared" si="18"/>
        <v>0</v>
      </c>
      <c r="Z47" s="134">
        <f t="shared" si="19"/>
        <v>0</v>
      </c>
      <c r="AA47" s="134">
        <f t="shared" si="10"/>
        <v>0</v>
      </c>
      <c r="AB47" s="135">
        <f t="shared" si="20"/>
        <v>0</v>
      </c>
      <c r="AC47" s="11"/>
      <c r="AD47" s="12"/>
      <c r="AE47" s="22"/>
      <c r="AF47" s="2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145"/>
      <c r="B48" s="150"/>
      <c r="C48" s="146"/>
      <c r="D48" s="147"/>
      <c r="E48" s="144"/>
      <c r="F48" s="151"/>
      <c r="G48" s="151"/>
      <c r="H48" s="149"/>
      <c r="I48" s="49">
        <f t="shared" si="1"/>
        <v>2</v>
      </c>
      <c r="J48" s="109">
        <f t="shared" si="2"/>
        <v>2</v>
      </c>
      <c r="K48" s="139">
        <f t="shared" si="3"/>
        <v>0</v>
      </c>
      <c r="L48" s="139">
        <f t="shared" si="4"/>
        <v>0</v>
      </c>
      <c r="M48" s="144">
        <v>0</v>
      </c>
      <c r="N48" s="139">
        <f t="shared" si="5"/>
        <v>0</v>
      </c>
      <c r="O48" s="144">
        <v>0</v>
      </c>
      <c r="P48" s="144">
        <v>0</v>
      </c>
      <c r="Q48" s="144">
        <f t="shared" si="11"/>
        <v>0</v>
      </c>
      <c r="R48" s="139">
        <f t="shared" si="17"/>
        <v>0</v>
      </c>
      <c r="S48" s="141">
        <v>0</v>
      </c>
      <c r="T48" s="139">
        <f t="shared" si="6"/>
        <v>0</v>
      </c>
      <c r="U48" s="134">
        <f t="shared" si="13"/>
        <v>0</v>
      </c>
      <c r="V48" s="134">
        <f t="shared" si="7"/>
        <v>0</v>
      </c>
      <c r="W48" s="134">
        <f t="shared" si="8"/>
        <v>0</v>
      </c>
      <c r="X48" s="134">
        <f t="shared" si="9"/>
        <v>0</v>
      </c>
      <c r="Y48" s="134">
        <f t="shared" si="18"/>
        <v>0</v>
      </c>
      <c r="Z48" s="134">
        <f t="shared" si="19"/>
        <v>0</v>
      </c>
      <c r="AA48" s="134">
        <f t="shared" si="10"/>
        <v>0</v>
      </c>
      <c r="AB48" s="135">
        <f t="shared" si="20"/>
        <v>0</v>
      </c>
      <c r="AC48" s="11"/>
      <c r="AD48" s="12"/>
      <c r="AE48" s="22"/>
      <c r="AF48" s="2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145"/>
      <c r="B49" s="150"/>
      <c r="C49" s="146"/>
      <c r="D49" s="147"/>
      <c r="E49" s="144"/>
      <c r="F49" s="151"/>
      <c r="G49" s="151"/>
      <c r="H49" s="149"/>
      <c r="I49" s="49">
        <f t="shared" si="1"/>
        <v>2</v>
      </c>
      <c r="J49" s="109">
        <f t="shared" si="2"/>
        <v>2</v>
      </c>
      <c r="K49" s="139">
        <f t="shared" si="3"/>
        <v>0</v>
      </c>
      <c r="L49" s="139">
        <f t="shared" si="4"/>
        <v>0</v>
      </c>
      <c r="M49" s="144">
        <v>0</v>
      </c>
      <c r="N49" s="139">
        <f t="shared" si="5"/>
        <v>0</v>
      </c>
      <c r="O49" s="144">
        <v>0</v>
      </c>
      <c r="P49" s="144">
        <v>0</v>
      </c>
      <c r="Q49" s="144">
        <f t="shared" si="11"/>
        <v>0</v>
      </c>
      <c r="R49" s="139">
        <f t="shared" si="17"/>
        <v>0</v>
      </c>
      <c r="S49" s="141">
        <v>0</v>
      </c>
      <c r="T49" s="139">
        <f t="shared" si="6"/>
        <v>0</v>
      </c>
      <c r="U49" s="134">
        <f t="shared" si="13"/>
        <v>0</v>
      </c>
      <c r="V49" s="134">
        <f t="shared" si="7"/>
        <v>0</v>
      </c>
      <c r="W49" s="134">
        <f t="shared" si="8"/>
        <v>0</v>
      </c>
      <c r="X49" s="134">
        <f t="shared" si="9"/>
        <v>0</v>
      </c>
      <c r="Y49" s="134">
        <f t="shared" si="18"/>
        <v>0</v>
      </c>
      <c r="Z49" s="134">
        <f t="shared" si="19"/>
        <v>0</v>
      </c>
      <c r="AA49" s="134">
        <f t="shared" si="10"/>
        <v>0</v>
      </c>
      <c r="AB49" s="135">
        <f t="shared" si="20"/>
        <v>0</v>
      </c>
      <c r="AC49" s="11"/>
      <c r="AD49" s="12"/>
      <c r="AE49" s="22"/>
      <c r="AF49" s="2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145"/>
      <c r="B50" s="150"/>
      <c r="C50" s="146"/>
      <c r="D50" s="147"/>
      <c r="E50" s="144"/>
      <c r="F50" s="151"/>
      <c r="G50" s="151"/>
      <c r="H50" s="149"/>
      <c r="I50" s="49">
        <f t="shared" si="1"/>
        <v>2</v>
      </c>
      <c r="J50" s="109">
        <f t="shared" si="2"/>
        <v>2</v>
      </c>
      <c r="K50" s="139">
        <f t="shared" si="3"/>
        <v>0</v>
      </c>
      <c r="L50" s="139">
        <f t="shared" si="4"/>
        <v>0</v>
      </c>
      <c r="M50" s="144">
        <v>0</v>
      </c>
      <c r="N50" s="139">
        <f t="shared" si="5"/>
        <v>0</v>
      </c>
      <c r="O50" s="144">
        <v>0</v>
      </c>
      <c r="P50" s="144">
        <v>0</v>
      </c>
      <c r="Q50" s="144">
        <f t="shared" si="11"/>
        <v>0</v>
      </c>
      <c r="R50" s="139">
        <f t="shared" si="17"/>
        <v>0</v>
      </c>
      <c r="S50" s="141">
        <v>0</v>
      </c>
      <c r="T50" s="139">
        <f t="shared" si="6"/>
        <v>0</v>
      </c>
      <c r="U50" s="134">
        <f t="shared" si="13"/>
        <v>0</v>
      </c>
      <c r="V50" s="134">
        <f t="shared" si="7"/>
        <v>0</v>
      </c>
      <c r="W50" s="134">
        <f t="shared" si="8"/>
        <v>0</v>
      </c>
      <c r="X50" s="134">
        <f t="shared" si="9"/>
        <v>0</v>
      </c>
      <c r="Y50" s="134">
        <f t="shared" si="18"/>
        <v>0</v>
      </c>
      <c r="Z50" s="134">
        <f t="shared" si="19"/>
        <v>0</v>
      </c>
      <c r="AA50" s="134">
        <f t="shared" si="10"/>
        <v>0</v>
      </c>
      <c r="AB50" s="135">
        <f t="shared" si="20"/>
        <v>0</v>
      </c>
      <c r="AC50" s="11"/>
      <c r="AD50" s="12"/>
      <c r="AE50" s="22"/>
      <c r="AF50" s="2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145"/>
      <c r="B51" s="150"/>
      <c r="C51" s="146"/>
      <c r="D51" s="147"/>
      <c r="E51" s="144"/>
      <c r="F51" s="151"/>
      <c r="G51" s="151"/>
      <c r="H51" s="149"/>
      <c r="I51" s="49">
        <f t="shared" si="1"/>
        <v>2</v>
      </c>
      <c r="J51" s="109">
        <f t="shared" si="2"/>
        <v>2</v>
      </c>
      <c r="K51" s="139">
        <f t="shared" si="3"/>
        <v>0</v>
      </c>
      <c r="L51" s="139">
        <f t="shared" si="4"/>
        <v>0</v>
      </c>
      <c r="M51" s="144">
        <v>0</v>
      </c>
      <c r="N51" s="139">
        <f t="shared" si="5"/>
        <v>0</v>
      </c>
      <c r="O51" s="144">
        <v>0</v>
      </c>
      <c r="P51" s="144">
        <v>0</v>
      </c>
      <c r="Q51" s="144">
        <f t="shared" si="11"/>
        <v>0</v>
      </c>
      <c r="R51" s="139">
        <f t="shared" si="17"/>
        <v>0</v>
      </c>
      <c r="S51" s="141">
        <v>0</v>
      </c>
      <c r="T51" s="139">
        <f t="shared" si="6"/>
        <v>0</v>
      </c>
      <c r="U51" s="134">
        <f t="shared" si="13"/>
        <v>0</v>
      </c>
      <c r="V51" s="134">
        <f t="shared" si="7"/>
        <v>0</v>
      </c>
      <c r="W51" s="134">
        <f t="shared" si="8"/>
        <v>0</v>
      </c>
      <c r="X51" s="134">
        <f t="shared" si="9"/>
        <v>0</v>
      </c>
      <c r="Y51" s="134">
        <f t="shared" si="18"/>
        <v>0</v>
      </c>
      <c r="Z51" s="134">
        <f t="shared" si="19"/>
        <v>0</v>
      </c>
      <c r="AA51" s="134">
        <f t="shared" si="10"/>
        <v>0</v>
      </c>
      <c r="AB51" s="135">
        <f t="shared" si="20"/>
        <v>0</v>
      </c>
      <c r="AC51" s="11"/>
      <c r="AD51" s="12"/>
      <c r="AE51" s="22"/>
      <c r="AF51" s="2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145"/>
      <c r="B52" s="150"/>
      <c r="C52" s="146"/>
      <c r="D52" s="147"/>
      <c r="E52" s="144"/>
      <c r="F52" s="151"/>
      <c r="G52" s="151"/>
      <c r="H52" s="149"/>
      <c r="I52" s="49">
        <f t="shared" si="1"/>
        <v>2</v>
      </c>
      <c r="J52" s="109">
        <f t="shared" si="2"/>
        <v>2</v>
      </c>
      <c r="K52" s="139">
        <f t="shared" si="3"/>
        <v>0</v>
      </c>
      <c r="L52" s="139">
        <f t="shared" si="4"/>
        <v>0</v>
      </c>
      <c r="M52" s="144">
        <v>0</v>
      </c>
      <c r="N52" s="139">
        <f t="shared" si="5"/>
        <v>0</v>
      </c>
      <c r="O52" s="144">
        <v>0</v>
      </c>
      <c r="P52" s="144">
        <v>0</v>
      </c>
      <c r="Q52" s="144">
        <f t="shared" si="11"/>
        <v>0</v>
      </c>
      <c r="R52" s="139">
        <f t="shared" si="17"/>
        <v>0</v>
      </c>
      <c r="S52" s="141">
        <v>0</v>
      </c>
      <c r="T52" s="139">
        <f t="shared" si="6"/>
        <v>0</v>
      </c>
      <c r="U52" s="134">
        <f t="shared" si="13"/>
        <v>0</v>
      </c>
      <c r="V52" s="134">
        <f t="shared" si="7"/>
        <v>0</v>
      </c>
      <c r="W52" s="134">
        <f t="shared" si="8"/>
        <v>0</v>
      </c>
      <c r="X52" s="134">
        <f t="shared" si="9"/>
        <v>0</v>
      </c>
      <c r="Y52" s="134">
        <f t="shared" si="18"/>
        <v>0</v>
      </c>
      <c r="Z52" s="134">
        <f t="shared" si="19"/>
        <v>0</v>
      </c>
      <c r="AA52" s="134">
        <f t="shared" si="10"/>
        <v>0</v>
      </c>
      <c r="AB52" s="135">
        <f t="shared" si="20"/>
        <v>0</v>
      </c>
      <c r="AC52" s="11"/>
      <c r="AD52" s="12"/>
      <c r="AE52" s="22"/>
      <c r="AF52" s="22"/>
      <c r="AG52" s="12"/>
      <c r="AH52" s="12"/>
      <c r="AI52" s="12"/>
      <c r="AJ52" s="12"/>
      <c r="AK52" s="12"/>
      <c r="AL52" s="12"/>
      <c r="AM52" s="12"/>
      <c r="AN52" s="12"/>
    </row>
    <row r="53" spans="1:40" ht="12.75">
      <c r="A53" s="145"/>
      <c r="B53" s="150"/>
      <c r="C53" s="146"/>
      <c r="D53" s="147"/>
      <c r="E53" s="144"/>
      <c r="F53" s="151"/>
      <c r="G53" s="151"/>
      <c r="H53" s="149"/>
      <c r="I53" s="49">
        <f t="shared" si="1"/>
        <v>2</v>
      </c>
      <c r="J53" s="109">
        <f t="shared" si="2"/>
        <v>2</v>
      </c>
      <c r="K53" s="139">
        <f t="shared" si="3"/>
        <v>0</v>
      </c>
      <c r="L53" s="139">
        <f t="shared" si="4"/>
        <v>0</v>
      </c>
      <c r="M53" s="144">
        <v>0</v>
      </c>
      <c r="N53" s="139">
        <f t="shared" si="5"/>
        <v>0</v>
      </c>
      <c r="O53" s="144">
        <v>0</v>
      </c>
      <c r="P53" s="144">
        <v>0</v>
      </c>
      <c r="Q53" s="144">
        <f t="shared" si="11"/>
        <v>0</v>
      </c>
      <c r="R53" s="139">
        <f t="shared" si="17"/>
        <v>0</v>
      </c>
      <c r="S53" s="141">
        <v>0</v>
      </c>
      <c r="T53" s="139">
        <f t="shared" si="6"/>
        <v>0</v>
      </c>
      <c r="U53" s="134">
        <f t="shared" si="13"/>
        <v>0</v>
      </c>
      <c r="V53" s="134">
        <f t="shared" si="7"/>
        <v>0</v>
      </c>
      <c r="W53" s="134">
        <f t="shared" si="8"/>
        <v>0</v>
      </c>
      <c r="X53" s="134">
        <f t="shared" si="9"/>
        <v>0</v>
      </c>
      <c r="Y53" s="134">
        <f t="shared" si="18"/>
        <v>0</v>
      </c>
      <c r="Z53" s="134">
        <f t="shared" si="19"/>
        <v>0</v>
      </c>
      <c r="AA53" s="134">
        <f t="shared" si="10"/>
        <v>0</v>
      </c>
      <c r="AB53" s="135">
        <f t="shared" si="20"/>
        <v>0</v>
      </c>
      <c r="AC53" s="11"/>
      <c r="AD53" s="12"/>
      <c r="AE53" s="22"/>
      <c r="AF53" s="22"/>
      <c r="AG53" s="12"/>
      <c r="AH53" s="12"/>
      <c r="AI53" s="12"/>
      <c r="AJ53" s="12"/>
      <c r="AK53" s="12"/>
      <c r="AL53" s="12"/>
      <c r="AM53" s="12"/>
      <c r="AN53" s="12"/>
    </row>
    <row r="54" spans="1:51" ht="12.75">
      <c r="A54" s="145"/>
      <c r="B54" s="150"/>
      <c r="C54" s="146"/>
      <c r="D54" s="147"/>
      <c r="E54" s="144"/>
      <c r="F54" s="151"/>
      <c r="G54" s="151"/>
      <c r="H54" s="149"/>
      <c r="I54" s="49">
        <f t="shared" si="1"/>
        <v>2</v>
      </c>
      <c r="J54" s="109">
        <f t="shared" si="2"/>
        <v>2</v>
      </c>
      <c r="K54" s="139">
        <f t="shared" si="3"/>
        <v>0</v>
      </c>
      <c r="L54" s="139">
        <f t="shared" si="4"/>
        <v>0</v>
      </c>
      <c r="M54" s="144">
        <v>0</v>
      </c>
      <c r="N54" s="139">
        <f t="shared" si="5"/>
        <v>0</v>
      </c>
      <c r="O54" s="144">
        <v>0</v>
      </c>
      <c r="P54" s="144">
        <v>0</v>
      </c>
      <c r="Q54" s="144">
        <f t="shared" si="11"/>
        <v>0</v>
      </c>
      <c r="R54" s="139">
        <f t="shared" si="12"/>
        <v>0</v>
      </c>
      <c r="S54" s="141">
        <v>0</v>
      </c>
      <c r="T54" s="139">
        <f t="shared" si="6"/>
        <v>0</v>
      </c>
      <c r="U54" s="134">
        <f t="shared" si="13"/>
        <v>0</v>
      </c>
      <c r="V54" s="134">
        <f t="shared" si="7"/>
        <v>0</v>
      </c>
      <c r="W54" s="134">
        <f t="shared" si="8"/>
        <v>0</v>
      </c>
      <c r="X54" s="134">
        <f t="shared" si="9"/>
        <v>0</v>
      </c>
      <c r="Y54" s="134">
        <f t="shared" si="14"/>
        <v>0</v>
      </c>
      <c r="Z54" s="134">
        <f t="shared" si="15"/>
        <v>0</v>
      </c>
      <c r="AA54" s="134">
        <f t="shared" si="10"/>
        <v>0</v>
      </c>
      <c r="AB54" s="135">
        <f t="shared" si="16"/>
        <v>0</v>
      </c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X54" s="23"/>
      <c r="AY54" s="23"/>
    </row>
    <row r="55" spans="1:40" ht="12.75">
      <c r="A55" s="145"/>
      <c r="B55" s="150"/>
      <c r="C55" s="146"/>
      <c r="D55" s="147"/>
      <c r="E55" s="144"/>
      <c r="F55" s="151"/>
      <c r="G55" s="151"/>
      <c r="H55" s="149"/>
      <c r="I55" s="49">
        <f t="shared" si="1"/>
        <v>2</v>
      </c>
      <c r="J55" s="109">
        <f t="shared" si="2"/>
        <v>2</v>
      </c>
      <c r="K55" s="139">
        <f t="shared" si="3"/>
        <v>0</v>
      </c>
      <c r="L55" s="139">
        <f t="shared" si="4"/>
        <v>0</v>
      </c>
      <c r="M55" s="144">
        <v>0</v>
      </c>
      <c r="N55" s="139">
        <f t="shared" si="5"/>
        <v>0</v>
      </c>
      <c r="O55" s="144">
        <v>0</v>
      </c>
      <c r="P55" s="144">
        <v>0</v>
      </c>
      <c r="Q55" s="144">
        <f t="shared" si="11"/>
        <v>0</v>
      </c>
      <c r="R55" s="139">
        <f t="shared" si="12"/>
        <v>0</v>
      </c>
      <c r="S55" s="141">
        <v>0</v>
      </c>
      <c r="T55" s="139">
        <f t="shared" si="6"/>
        <v>0</v>
      </c>
      <c r="U55" s="134">
        <f t="shared" si="13"/>
        <v>0</v>
      </c>
      <c r="V55" s="134">
        <f t="shared" si="7"/>
        <v>0</v>
      </c>
      <c r="W55" s="134">
        <f t="shared" si="8"/>
        <v>0</v>
      </c>
      <c r="X55" s="134">
        <f t="shared" si="9"/>
        <v>0</v>
      </c>
      <c r="Y55" s="134">
        <f t="shared" si="14"/>
        <v>0</v>
      </c>
      <c r="Z55" s="134">
        <f t="shared" si="15"/>
        <v>0</v>
      </c>
      <c r="AA55" s="134">
        <f t="shared" si="10"/>
        <v>0</v>
      </c>
      <c r="AB55" s="135">
        <f t="shared" si="16"/>
        <v>0</v>
      </c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2.75">
      <c r="A56" s="145"/>
      <c r="B56" s="150"/>
      <c r="C56" s="146"/>
      <c r="D56" s="147"/>
      <c r="E56" s="144"/>
      <c r="F56" s="151"/>
      <c r="G56" s="151"/>
      <c r="H56" s="149"/>
      <c r="I56" s="49">
        <f t="shared" si="1"/>
        <v>2</v>
      </c>
      <c r="J56" s="109">
        <f t="shared" si="2"/>
        <v>2</v>
      </c>
      <c r="K56" s="139">
        <f t="shared" si="3"/>
        <v>0</v>
      </c>
      <c r="L56" s="139">
        <f t="shared" si="4"/>
        <v>0</v>
      </c>
      <c r="M56" s="144">
        <v>0</v>
      </c>
      <c r="N56" s="139">
        <f t="shared" si="5"/>
        <v>0</v>
      </c>
      <c r="O56" s="144">
        <v>0</v>
      </c>
      <c r="P56" s="144">
        <v>0</v>
      </c>
      <c r="Q56" s="144">
        <f t="shared" si="11"/>
        <v>0</v>
      </c>
      <c r="R56" s="139">
        <f t="shared" si="12"/>
        <v>0</v>
      </c>
      <c r="S56" s="141">
        <v>0</v>
      </c>
      <c r="T56" s="139">
        <f t="shared" si="6"/>
        <v>0</v>
      </c>
      <c r="U56" s="134">
        <f t="shared" si="13"/>
        <v>0</v>
      </c>
      <c r="V56" s="134">
        <f t="shared" si="7"/>
        <v>0</v>
      </c>
      <c r="W56" s="134">
        <f t="shared" si="8"/>
        <v>0</v>
      </c>
      <c r="X56" s="134">
        <f t="shared" si="9"/>
        <v>0</v>
      </c>
      <c r="Y56" s="134">
        <f t="shared" si="14"/>
        <v>0</v>
      </c>
      <c r="Z56" s="134">
        <f t="shared" si="15"/>
        <v>0</v>
      </c>
      <c r="AA56" s="134">
        <f t="shared" si="10"/>
        <v>0</v>
      </c>
      <c r="AB56" s="135">
        <f t="shared" si="16"/>
        <v>0</v>
      </c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2.75">
      <c r="A57" s="39"/>
      <c r="B57" s="47"/>
      <c r="C57" s="40"/>
      <c r="D57" s="42"/>
      <c r="E57" s="42"/>
      <c r="F57" s="42"/>
      <c r="G57" s="42"/>
      <c r="H57" s="48"/>
      <c r="I57" s="49"/>
      <c r="J57" s="88"/>
      <c r="K57" s="139"/>
      <c r="L57" s="139"/>
      <c r="M57" s="140"/>
      <c r="N57" s="139"/>
      <c r="O57" s="140"/>
      <c r="P57" s="140"/>
      <c r="Q57" s="140"/>
      <c r="R57" s="139"/>
      <c r="S57" s="141"/>
      <c r="T57" s="142" t="s">
        <v>106</v>
      </c>
      <c r="U57" s="142" t="s">
        <v>106</v>
      </c>
      <c r="V57" s="142" t="s">
        <v>106</v>
      </c>
      <c r="W57" s="142" t="s">
        <v>106</v>
      </c>
      <c r="X57" s="142" t="s">
        <v>106</v>
      </c>
      <c r="Y57" s="142" t="s">
        <v>106</v>
      </c>
      <c r="Z57" s="142" t="s">
        <v>106</v>
      </c>
      <c r="AA57" s="142" t="s">
        <v>106</v>
      </c>
      <c r="AB57" s="143" t="s">
        <v>106</v>
      </c>
      <c r="AC57" s="11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.75">
      <c r="A58" s="50" t="s">
        <v>107</v>
      </c>
      <c r="B58" s="42"/>
      <c r="C58" s="40"/>
      <c r="D58" s="42"/>
      <c r="E58" s="42"/>
      <c r="F58" s="42"/>
      <c r="G58" s="42"/>
      <c r="H58" s="48"/>
      <c r="I58" s="49"/>
      <c r="J58" s="88">
        <f>IF(MOD(G58,7)=0,G58+2,IF(MOD(G58,7)=1,G58+1,G58))</f>
        <v>2</v>
      </c>
      <c r="K58" s="139"/>
      <c r="L58" s="139"/>
      <c r="M58" s="140"/>
      <c r="N58" s="139"/>
      <c r="O58" s="140"/>
      <c r="P58" s="140"/>
      <c r="Q58" s="140"/>
      <c r="R58" s="139"/>
      <c r="S58" s="141"/>
      <c r="T58" s="139">
        <f aca="true" t="shared" si="21" ref="T58:AB58">SUM(T26:T57)</f>
        <v>0</v>
      </c>
      <c r="U58" s="134">
        <f t="shared" si="21"/>
        <v>0</v>
      </c>
      <c r="V58" s="134">
        <f t="shared" si="21"/>
        <v>0</v>
      </c>
      <c r="W58" s="134">
        <f t="shared" si="21"/>
        <v>0</v>
      </c>
      <c r="X58" s="134">
        <f t="shared" si="21"/>
        <v>0</v>
      </c>
      <c r="Y58" s="134">
        <f t="shared" si="21"/>
        <v>0</v>
      </c>
      <c r="Z58" s="134">
        <f t="shared" si="21"/>
        <v>0</v>
      </c>
      <c r="AA58" s="134">
        <f t="shared" si="21"/>
        <v>0</v>
      </c>
      <c r="AB58" s="135">
        <f t="shared" si="21"/>
        <v>0</v>
      </c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2.75">
      <c r="A59" s="39"/>
      <c r="B59" s="42"/>
      <c r="C59" s="40"/>
      <c r="D59" s="42"/>
      <c r="E59" s="42"/>
      <c r="F59" s="42"/>
      <c r="G59" s="42"/>
      <c r="H59" s="42"/>
      <c r="I59" s="42"/>
      <c r="J59" s="89"/>
      <c r="K59" s="89"/>
      <c r="L59" s="89"/>
      <c r="M59" s="42"/>
      <c r="N59" s="89"/>
      <c r="O59" s="42"/>
      <c r="P59" s="42"/>
      <c r="Q59" s="42"/>
      <c r="R59" s="89"/>
      <c r="S59" s="42"/>
      <c r="T59" s="45" t="s">
        <v>108</v>
      </c>
      <c r="U59" s="45" t="s">
        <v>108</v>
      </c>
      <c r="V59" s="45" t="s">
        <v>108</v>
      </c>
      <c r="W59" s="45" t="s">
        <v>108</v>
      </c>
      <c r="X59" s="45" t="s">
        <v>108</v>
      </c>
      <c r="Y59" s="45" t="s">
        <v>108</v>
      </c>
      <c r="Z59" s="45" t="s">
        <v>108</v>
      </c>
      <c r="AA59" s="45" t="s">
        <v>108</v>
      </c>
      <c r="AB59" s="46" t="s">
        <v>108</v>
      </c>
      <c r="AC59" s="11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2.75">
      <c r="A60" s="39"/>
      <c r="B60" s="42"/>
      <c r="C60" s="40"/>
      <c r="D60" s="42"/>
      <c r="E60" s="42"/>
      <c r="F60" s="42"/>
      <c r="G60" s="42"/>
      <c r="H60" s="42"/>
      <c r="I60" s="42"/>
      <c r="J60" s="89"/>
      <c r="K60" s="89"/>
      <c r="L60" s="89"/>
      <c r="M60" s="42"/>
      <c r="N60" s="89"/>
      <c r="O60" s="42"/>
      <c r="P60" s="42"/>
      <c r="Q60" s="42"/>
      <c r="R60" s="89"/>
      <c r="S60" s="42"/>
      <c r="T60" s="42"/>
      <c r="U60" s="42"/>
      <c r="V60" s="42"/>
      <c r="W60" s="42"/>
      <c r="X60" s="41" t="s">
        <v>109</v>
      </c>
      <c r="Y60" s="42"/>
      <c r="Z60" s="42"/>
      <c r="AA60" s="42"/>
      <c r="AB60" s="51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2.75">
      <c r="A61" s="39"/>
      <c r="B61" s="42"/>
      <c r="C61" s="40"/>
      <c r="D61" s="42"/>
      <c r="E61" s="42"/>
      <c r="F61" s="42"/>
      <c r="G61" s="42"/>
      <c r="H61" s="42"/>
      <c r="I61" s="42"/>
      <c r="J61" s="89"/>
      <c r="K61" s="89"/>
      <c r="L61" s="89"/>
      <c r="M61" s="42"/>
      <c r="N61" s="89"/>
      <c r="O61" s="42"/>
      <c r="P61" s="42"/>
      <c r="Q61" s="42"/>
      <c r="R61" s="89"/>
      <c r="S61" s="42"/>
      <c r="T61" s="42"/>
      <c r="U61" s="42"/>
      <c r="V61" s="42"/>
      <c r="W61" s="42"/>
      <c r="X61" s="40" t="s">
        <v>110</v>
      </c>
      <c r="Y61" s="42"/>
      <c r="Z61" s="42"/>
      <c r="AA61" s="42"/>
      <c r="AB61" s="5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2.75">
      <c r="A62" s="39"/>
      <c r="B62" s="42"/>
      <c r="C62" s="40"/>
      <c r="D62" s="42"/>
      <c r="E62" s="42"/>
      <c r="F62" s="42"/>
      <c r="G62" s="42"/>
      <c r="H62" s="42"/>
      <c r="I62" s="42"/>
      <c r="J62" s="89"/>
      <c r="K62" s="89"/>
      <c r="L62" s="89"/>
      <c r="M62" s="42"/>
      <c r="N62" s="89"/>
      <c r="O62" s="42"/>
      <c r="P62" s="42"/>
      <c r="Q62" s="42"/>
      <c r="R62" s="89"/>
      <c r="S62" s="42"/>
      <c r="T62" s="42"/>
      <c r="U62" s="42"/>
      <c r="V62" s="42"/>
      <c r="W62" s="42"/>
      <c r="X62" s="45" t="s">
        <v>111</v>
      </c>
      <c r="Y62" s="42"/>
      <c r="Z62" s="42"/>
      <c r="AA62" s="42"/>
      <c r="AB62" s="51"/>
      <c r="AC62" s="11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2.75">
      <c r="A63" s="50" t="s">
        <v>112</v>
      </c>
      <c r="B63" s="42"/>
      <c r="C63" s="40"/>
      <c r="D63" s="42"/>
      <c r="E63" s="42"/>
      <c r="F63" s="42"/>
      <c r="G63" s="42"/>
      <c r="H63" s="42"/>
      <c r="I63" s="42"/>
      <c r="J63" s="89"/>
      <c r="K63" s="89"/>
      <c r="L63" s="89"/>
      <c r="M63" s="42"/>
      <c r="N63" s="89"/>
      <c r="O63" s="42"/>
      <c r="P63" s="42"/>
      <c r="Q63" s="42"/>
      <c r="R63" s="89"/>
      <c r="S63" s="42"/>
      <c r="T63" s="42"/>
      <c r="U63" s="41" t="s">
        <v>113</v>
      </c>
      <c r="V63" s="42"/>
      <c r="W63" s="42"/>
      <c r="X63" s="52">
        <f>AA16</f>
        <v>0.087</v>
      </c>
      <c r="Y63" s="42"/>
      <c r="Z63" s="138">
        <v>0</v>
      </c>
      <c r="AA63" s="134">
        <f>Z63*X63</f>
        <v>0</v>
      </c>
      <c r="AB63" s="135">
        <f aca="true" t="shared" si="22" ref="AB63:AB68">Z63+AA63</f>
        <v>0</v>
      </c>
      <c r="AC63" s="1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.75">
      <c r="A64" s="39"/>
      <c r="B64" s="42"/>
      <c r="C64" s="40"/>
      <c r="D64" s="42"/>
      <c r="E64" s="42"/>
      <c r="F64" s="42"/>
      <c r="G64" s="42"/>
      <c r="H64" s="42"/>
      <c r="I64" s="42"/>
      <c r="J64" s="89"/>
      <c r="K64" s="89"/>
      <c r="L64" s="89"/>
      <c r="M64" s="42"/>
      <c r="N64" s="89"/>
      <c r="O64" s="42"/>
      <c r="P64" s="42"/>
      <c r="Q64" s="42"/>
      <c r="R64" s="89"/>
      <c r="S64" s="42"/>
      <c r="T64" s="42"/>
      <c r="U64" s="120" t="s">
        <v>143</v>
      </c>
      <c r="V64" s="42"/>
      <c r="W64" s="42"/>
      <c r="X64" s="52">
        <f>AA13</f>
        <v>0.311</v>
      </c>
      <c r="Y64" s="42"/>
      <c r="Z64" s="138">
        <v>0</v>
      </c>
      <c r="AA64" s="134">
        <f>Z64*X64</f>
        <v>0</v>
      </c>
      <c r="AB64" s="135">
        <f t="shared" si="22"/>
        <v>0</v>
      </c>
      <c r="AC64" s="11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.75">
      <c r="A65" s="39"/>
      <c r="B65" s="42"/>
      <c r="C65" s="40"/>
      <c r="D65" s="42"/>
      <c r="E65" s="42"/>
      <c r="F65" s="42"/>
      <c r="G65" s="42"/>
      <c r="H65" s="42"/>
      <c r="I65" s="42"/>
      <c r="J65" s="89"/>
      <c r="K65" s="89"/>
      <c r="L65" s="89"/>
      <c r="M65" s="42"/>
      <c r="N65" s="89"/>
      <c r="O65" s="42"/>
      <c r="P65" s="42"/>
      <c r="Q65" s="42"/>
      <c r="R65" s="89"/>
      <c r="S65" s="42"/>
      <c r="T65" s="42"/>
      <c r="U65" s="120" t="s">
        <v>186</v>
      </c>
      <c r="V65" s="42"/>
      <c r="W65" s="42"/>
      <c r="X65" s="52">
        <f>AA14</f>
        <v>0.343</v>
      </c>
      <c r="Y65" s="42"/>
      <c r="Z65" s="138">
        <v>0</v>
      </c>
      <c r="AA65" s="134">
        <f>Z65*X65</f>
        <v>0</v>
      </c>
      <c r="AB65" s="135">
        <f t="shared" si="22"/>
        <v>0</v>
      </c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2.75">
      <c r="A66" s="39"/>
      <c r="B66" s="42"/>
      <c r="C66" s="40"/>
      <c r="D66" s="42"/>
      <c r="E66" s="42"/>
      <c r="F66" s="42"/>
      <c r="G66" s="42"/>
      <c r="H66" s="42"/>
      <c r="I66" s="42"/>
      <c r="J66" s="89"/>
      <c r="K66" s="89"/>
      <c r="L66" s="89"/>
      <c r="M66" s="42"/>
      <c r="N66" s="89"/>
      <c r="O66" s="42"/>
      <c r="P66" s="42"/>
      <c r="Q66" s="42"/>
      <c r="R66" s="89"/>
      <c r="S66" s="42"/>
      <c r="T66" s="42"/>
      <c r="U66" s="41" t="s">
        <v>114</v>
      </c>
      <c r="V66" s="42"/>
      <c r="W66" s="42"/>
      <c r="X66" s="52">
        <f>AA8</f>
        <v>0.519</v>
      </c>
      <c r="Y66" s="42"/>
      <c r="Z66" s="138">
        <v>0</v>
      </c>
      <c r="AA66" s="134">
        <f>Z66*X66</f>
        <v>0</v>
      </c>
      <c r="AB66" s="135">
        <f t="shared" si="22"/>
        <v>0</v>
      </c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2.75">
      <c r="A67" s="39"/>
      <c r="B67" s="42"/>
      <c r="C67" s="40"/>
      <c r="D67" s="42"/>
      <c r="E67" s="42"/>
      <c r="F67" s="42"/>
      <c r="G67" s="42"/>
      <c r="H67" s="42"/>
      <c r="I67" s="42"/>
      <c r="J67" s="89"/>
      <c r="K67" s="89"/>
      <c r="L67" s="89"/>
      <c r="M67" s="42"/>
      <c r="N67" s="89"/>
      <c r="O67" s="42"/>
      <c r="P67" s="42"/>
      <c r="Q67" s="42"/>
      <c r="R67" s="89"/>
      <c r="S67" s="42"/>
      <c r="T67" s="42"/>
      <c r="U67" s="41" t="s">
        <v>115</v>
      </c>
      <c r="V67" s="42"/>
      <c r="W67" s="42"/>
      <c r="X67" s="52">
        <f>AA17</f>
        <v>0.086</v>
      </c>
      <c r="Y67" s="42"/>
      <c r="Z67" s="138">
        <v>0</v>
      </c>
      <c r="AA67" s="134">
        <f>Z67*X67</f>
        <v>0</v>
      </c>
      <c r="AB67" s="135">
        <f t="shared" si="22"/>
        <v>0</v>
      </c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2.75">
      <c r="A68" s="39"/>
      <c r="B68" s="42"/>
      <c r="C68" s="40"/>
      <c r="D68" s="42"/>
      <c r="E68" s="42"/>
      <c r="F68" s="42"/>
      <c r="G68" s="42"/>
      <c r="H68" s="42"/>
      <c r="I68" s="42"/>
      <c r="J68" s="89"/>
      <c r="K68" s="89"/>
      <c r="L68" s="89"/>
      <c r="M68" s="42"/>
      <c r="N68" s="89"/>
      <c r="O68" s="42"/>
      <c r="P68" s="42"/>
      <c r="Q68" s="42"/>
      <c r="R68" s="89"/>
      <c r="S68" s="42"/>
      <c r="T68" s="42"/>
      <c r="U68" s="41" t="s">
        <v>116</v>
      </c>
      <c r="V68" s="42"/>
      <c r="W68" s="42"/>
      <c r="X68" s="43" t="s">
        <v>117</v>
      </c>
      <c r="Y68" s="42"/>
      <c r="Z68" s="138">
        <v>0</v>
      </c>
      <c r="AA68" s="134">
        <v>0</v>
      </c>
      <c r="AB68" s="135">
        <f t="shared" si="22"/>
        <v>0</v>
      </c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2.75">
      <c r="A69" s="39"/>
      <c r="B69" s="42"/>
      <c r="C69" s="40"/>
      <c r="D69" s="42"/>
      <c r="E69" s="42"/>
      <c r="F69" s="42"/>
      <c r="G69" s="42"/>
      <c r="H69" s="42"/>
      <c r="I69" s="42"/>
      <c r="J69" s="89"/>
      <c r="K69" s="89"/>
      <c r="L69" s="89"/>
      <c r="M69" s="42"/>
      <c r="N69" s="89"/>
      <c r="O69" s="42"/>
      <c r="P69" s="42"/>
      <c r="Q69" s="42"/>
      <c r="R69" s="89"/>
      <c r="S69" s="42"/>
      <c r="T69" s="42"/>
      <c r="U69" s="42"/>
      <c r="V69" s="42"/>
      <c r="W69" s="42"/>
      <c r="X69" s="42"/>
      <c r="Y69" s="42"/>
      <c r="Z69" s="53" t="s">
        <v>106</v>
      </c>
      <c r="AA69" s="136" t="s">
        <v>106</v>
      </c>
      <c r="AB69" s="137" t="s">
        <v>106</v>
      </c>
      <c r="AC69" s="11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2.75">
      <c r="A70" s="50" t="s">
        <v>118</v>
      </c>
      <c r="B70" s="42"/>
      <c r="C70" s="40"/>
      <c r="D70" s="42"/>
      <c r="E70" s="42"/>
      <c r="F70" s="42"/>
      <c r="G70" s="42"/>
      <c r="H70" s="42"/>
      <c r="I70" s="49">
        <f>IF(MOD(F70,7)=0,F70+2,IF(MOD(F70,7)=1,F70+1,F70))</f>
        <v>2</v>
      </c>
      <c r="J70" s="88">
        <f>IF(MOD(G70,7)=0,G70+2,IF(MOD(G70,7)=1,G70+1,G70))</f>
        <v>2</v>
      </c>
      <c r="K70" s="90" t="s">
        <v>58</v>
      </c>
      <c r="L70" s="90" t="s">
        <v>58</v>
      </c>
      <c r="M70" s="54" t="s">
        <v>58</v>
      </c>
      <c r="N70" s="90" t="s">
        <v>58</v>
      </c>
      <c r="O70" s="54" t="s">
        <v>58</v>
      </c>
      <c r="P70" s="54" t="s">
        <v>58</v>
      </c>
      <c r="Q70" s="54" t="s">
        <v>58</v>
      </c>
      <c r="R70" s="90" t="s">
        <v>58</v>
      </c>
      <c r="S70" s="41" t="s">
        <v>58</v>
      </c>
      <c r="T70" s="54" t="s">
        <v>58</v>
      </c>
      <c r="U70" s="55" t="s">
        <v>58</v>
      </c>
      <c r="V70" s="55" t="s">
        <v>58</v>
      </c>
      <c r="W70" s="55" t="s">
        <v>119</v>
      </c>
      <c r="X70" s="55" t="s">
        <v>58</v>
      </c>
      <c r="Y70" s="56"/>
      <c r="Z70" s="57">
        <f>SUM(Z58:Z69)</f>
        <v>0</v>
      </c>
      <c r="AA70" s="92">
        <f>SUM(AA58:AA69)</f>
        <v>0</v>
      </c>
      <c r="AB70" s="93">
        <f>SUM(AB58:AB69)</f>
        <v>0</v>
      </c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58"/>
      <c r="B71" s="59"/>
      <c r="C71" s="60"/>
      <c r="D71" s="59"/>
      <c r="E71" s="59"/>
      <c r="F71" s="59"/>
      <c r="G71" s="59"/>
      <c r="H71" s="59"/>
      <c r="I71" s="59"/>
      <c r="J71" s="91"/>
      <c r="K71" s="91"/>
      <c r="L71" s="91"/>
      <c r="M71" s="59"/>
      <c r="N71" s="91"/>
      <c r="O71" s="59"/>
      <c r="P71" s="59"/>
      <c r="Q71" s="59"/>
      <c r="R71" s="91"/>
      <c r="S71" s="59"/>
      <c r="T71" s="59"/>
      <c r="U71" s="59"/>
      <c r="V71" s="59"/>
      <c r="W71" s="59"/>
      <c r="X71" s="59"/>
      <c r="Y71" s="59"/>
      <c r="Z71" s="61" t="s">
        <v>108</v>
      </c>
      <c r="AA71" s="61" t="s">
        <v>108</v>
      </c>
      <c r="AB71" s="62" t="s">
        <v>108</v>
      </c>
      <c r="AC71" s="11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42"/>
      <c r="B72" s="42"/>
      <c r="C72" s="40"/>
      <c r="D72" s="42"/>
      <c r="E72" s="42"/>
      <c r="F72" s="42"/>
      <c r="G72" s="42"/>
      <c r="H72" s="42"/>
      <c r="I72" s="42"/>
      <c r="J72" s="89"/>
      <c r="K72" s="89"/>
      <c r="L72" s="89"/>
      <c r="M72" s="42"/>
      <c r="N72" s="89"/>
      <c r="O72" s="42"/>
      <c r="P72" s="42"/>
      <c r="Q72" s="42"/>
      <c r="R72" s="89"/>
      <c r="S72" s="42"/>
      <c r="T72" s="42"/>
      <c r="U72" s="42"/>
      <c r="V72" s="42"/>
      <c r="W72" s="42"/>
      <c r="X72" s="42"/>
      <c r="Y72" s="42"/>
      <c r="Z72" s="45"/>
      <c r="AA72" s="45"/>
      <c r="AB72" s="45"/>
      <c r="AC72" s="11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42"/>
      <c r="B73" s="42"/>
      <c r="C73" s="40"/>
      <c r="D73" s="42"/>
      <c r="E73" s="42"/>
      <c r="F73" s="42"/>
      <c r="G73" s="42"/>
      <c r="H73" s="42"/>
      <c r="I73" s="42"/>
      <c r="J73" s="89"/>
      <c r="K73" s="89"/>
      <c r="L73" s="89"/>
      <c r="M73" s="42"/>
      <c r="N73" s="89"/>
      <c r="O73" s="42"/>
      <c r="P73" s="42"/>
      <c r="Q73" s="42"/>
      <c r="R73" s="89"/>
      <c r="S73" s="42"/>
      <c r="T73" s="42"/>
      <c r="U73" s="42"/>
      <c r="V73" s="42"/>
      <c r="W73" s="42"/>
      <c r="X73" s="42"/>
      <c r="Y73" s="42"/>
      <c r="Z73" s="45"/>
      <c r="AA73" s="45"/>
      <c r="AB73" s="45"/>
      <c r="AC73" s="11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11"/>
      <c r="B74" s="11"/>
      <c r="C74" s="3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11"/>
      <c r="B75" s="11"/>
      <c r="C75" s="3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11"/>
      <c r="B76" s="11"/>
      <c r="C76" s="3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11"/>
      <c r="B77" s="11"/>
      <c r="C77" s="3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11"/>
      <c r="B78" s="11"/>
      <c r="C78" s="3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11"/>
      <c r="B79" s="11"/>
      <c r="C79" s="3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11"/>
      <c r="B80" s="11"/>
      <c r="C80" s="3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11"/>
      <c r="B81" s="11"/>
      <c r="C81" s="3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2.75">
      <c r="A82" s="11"/>
      <c r="B82" s="11"/>
      <c r="C82" s="3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2.75">
      <c r="A83" s="11"/>
      <c r="B83" s="11"/>
      <c r="C83" s="3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11"/>
      <c r="B84" s="11"/>
      <c r="C84" s="3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.75">
      <c r="A85" s="11"/>
      <c r="B85" s="11"/>
      <c r="C85" s="3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2.75">
      <c r="A86" s="11"/>
      <c r="B86" s="11"/>
      <c r="C86" s="3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.75">
      <c r="A87" s="11"/>
      <c r="B87" s="11"/>
      <c r="C87" s="3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2.75">
      <c r="A88" s="11"/>
      <c r="B88" s="11"/>
      <c r="C88" s="3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2.75">
      <c r="A89" s="11"/>
      <c r="B89" s="26" t="s">
        <v>120</v>
      </c>
      <c r="C89" s="36" t="s">
        <v>121</v>
      </c>
      <c r="D89" s="11"/>
      <c r="E89" s="11"/>
      <c r="F89" s="26" t="s">
        <v>51</v>
      </c>
      <c r="G89" s="26" t="s">
        <v>122</v>
      </c>
      <c r="H89" s="11"/>
      <c r="I89" s="11"/>
      <c r="J89" s="11"/>
      <c r="K89" s="27" t="s">
        <v>123</v>
      </c>
      <c r="L89" s="11"/>
      <c r="M89" s="11"/>
      <c r="N89" s="27" t="s">
        <v>124</v>
      </c>
      <c r="O89" s="11"/>
      <c r="P89" s="11"/>
      <c r="Q89" s="11"/>
      <c r="R89" s="11"/>
      <c r="S89" s="11"/>
      <c r="T89" s="27" t="s">
        <v>125</v>
      </c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8.75">
      <c r="A90" s="28" t="s">
        <v>126</v>
      </c>
      <c r="B90" s="28" t="s">
        <v>7</v>
      </c>
      <c r="C90" s="37" t="s">
        <v>7</v>
      </c>
      <c r="D90" s="12"/>
      <c r="E90" s="12"/>
      <c r="F90" s="28" t="s">
        <v>7</v>
      </c>
      <c r="G90" s="28" t="s">
        <v>127</v>
      </c>
      <c r="H90" s="12"/>
      <c r="I90" s="12"/>
      <c r="J90" s="12"/>
      <c r="K90" s="12"/>
      <c r="L90" s="12"/>
      <c r="M90" s="12"/>
      <c r="N90" s="29" t="s">
        <v>128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8.75">
      <c r="A91" s="31" t="s">
        <v>111</v>
      </c>
      <c r="B91" s="31" t="s">
        <v>111</v>
      </c>
      <c r="C91" s="37" t="s">
        <v>111</v>
      </c>
      <c r="D91" s="12"/>
      <c r="E91" s="12"/>
      <c r="F91" s="31" t="s">
        <v>111</v>
      </c>
      <c r="G91" s="31" t="s">
        <v>111</v>
      </c>
      <c r="H91" s="12"/>
      <c r="I91" s="12"/>
      <c r="J91" s="12"/>
      <c r="K91" s="12"/>
      <c r="L91" s="12"/>
      <c r="M91" s="12"/>
      <c r="N91" s="29" t="s">
        <v>129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0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8.75">
      <c r="A92" s="12"/>
      <c r="B92" s="12"/>
      <c r="C92" s="3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0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8.75">
      <c r="A93" s="12"/>
      <c r="B93" s="12"/>
      <c r="C93" s="3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8.75">
      <c r="A94" s="12">
        <v>0</v>
      </c>
      <c r="B94" s="123">
        <f>DATE(2017,6,30)</f>
        <v>42916</v>
      </c>
      <c r="C94" s="124">
        <f>DATE(2017,6,30)</f>
        <v>42916</v>
      </c>
      <c r="D94" s="123"/>
      <c r="E94" s="123"/>
      <c r="F94" s="124">
        <f>DATE(2017,6,30)</f>
        <v>42916</v>
      </c>
      <c r="G94" s="125">
        <v>12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8.75">
      <c r="A95" s="12">
        <v>14</v>
      </c>
      <c r="B95" s="123">
        <f>DATE(2017,6,30)</f>
        <v>42916</v>
      </c>
      <c r="C95" s="124">
        <f>DATE(2017,6,30)</f>
        <v>42916</v>
      </c>
      <c r="D95" s="123"/>
      <c r="E95" s="123"/>
      <c r="F95" s="124">
        <f>DATE(2017,7,3)</f>
        <v>42919</v>
      </c>
      <c r="G95" s="12">
        <v>11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8.75">
      <c r="A96" s="12">
        <v>15</v>
      </c>
      <c r="B96" s="123">
        <f>DATE(2017,7,1)</f>
        <v>42917</v>
      </c>
      <c r="C96" s="124">
        <f>DATE(2017,7,8)</f>
        <v>42924</v>
      </c>
      <c r="D96" s="123"/>
      <c r="E96" s="123"/>
      <c r="F96" s="124">
        <f>DATE(2017,7,4)</f>
        <v>42920</v>
      </c>
      <c r="G96" s="12">
        <v>10</v>
      </c>
      <c r="H96" s="12"/>
      <c r="I96" s="12"/>
      <c r="J96" s="12"/>
      <c r="K96" s="29" t="s">
        <v>130</v>
      </c>
      <c r="L96" s="12"/>
      <c r="M96" s="12"/>
      <c r="N96" s="29" t="s">
        <v>128</v>
      </c>
      <c r="O96" s="12"/>
      <c r="P96" s="12"/>
      <c r="Q96" s="12"/>
      <c r="R96" s="12"/>
      <c r="S96" s="12"/>
      <c r="T96" s="29" t="s">
        <v>131</v>
      </c>
      <c r="U96" s="12"/>
      <c r="V96" s="12"/>
      <c r="W96" s="12"/>
      <c r="X96" s="12"/>
      <c r="Y96" s="3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8.75">
      <c r="A97" s="12">
        <v>16</v>
      </c>
      <c r="B97" s="123">
        <f>DATE(2017,7,9)</f>
        <v>42925</v>
      </c>
      <c r="C97" s="124">
        <f>DATE(2017,7,22)</f>
        <v>42938</v>
      </c>
      <c r="D97" s="123"/>
      <c r="E97" s="123"/>
      <c r="F97" s="124">
        <f>DATE(2017,9,4)</f>
        <v>42982</v>
      </c>
      <c r="G97" s="12">
        <v>9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8.75">
      <c r="A98" s="12">
        <v>17</v>
      </c>
      <c r="B98" s="123">
        <f>DATE(2017,7,23)</f>
        <v>42939</v>
      </c>
      <c r="C98" s="124">
        <f>DATE(2017,8,5)</f>
        <v>42952</v>
      </c>
      <c r="D98" s="123"/>
      <c r="E98" s="123"/>
      <c r="F98" s="124">
        <f>DATE(2017,11,23)</f>
        <v>43062</v>
      </c>
      <c r="G98" s="12">
        <v>8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8.75">
      <c r="A99" s="12">
        <v>18</v>
      </c>
      <c r="B99" s="123">
        <f>DATE(2017,8,6)</f>
        <v>42953</v>
      </c>
      <c r="C99" s="124">
        <f>DATE(2017,8,19)</f>
        <v>42966</v>
      </c>
      <c r="D99" s="123"/>
      <c r="E99" s="123"/>
      <c r="F99" s="124">
        <f>DATE(2017,11,24)</f>
        <v>43063</v>
      </c>
      <c r="G99" s="12">
        <v>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18.75">
      <c r="A100" s="12">
        <v>19</v>
      </c>
      <c r="B100" s="123">
        <f>DATE(2017,8,20)</f>
        <v>42967</v>
      </c>
      <c r="C100" s="124">
        <f>DATE(2017,9,2)</f>
        <v>42980</v>
      </c>
      <c r="D100" s="123"/>
      <c r="E100" s="123"/>
      <c r="F100" s="124">
        <f>DATE(2017,12,25)</f>
        <v>43094</v>
      </c>
      <c r="G100" s="12">
        <v>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8.75">
      <c r="A101" s="12">
        <v>20</v>
      </c>
      <c r="B101" s="123">
        <f>DATE(2017,9,3)</f>
        <v>42981</v>
      </c>
      <c r="C101" s="124">
        <f>DATE(2017,9,16)</f>
        <v>42994</v>
      </c>
      <c r="D101" s="123"/>
      <c r="E101" s="123"/>
      <c r="F101" s="124">
        <f>DATE(2017,12,26)</f>
        <v>43095</v>
      </c>
      <c r="G101" s="12">
        <v>5</v>
      </c>
      <c r="H101" s="12"/>
      <c r="I101" s="12"/>
      <c r="J101" s="12"/>
      <c r="K101" s="29" t="s">
        <v>132</v>
      </c>
      <c r="L101" s="12"/>
      <c r="M101" s="12"/>
      <c r="N101" s="12"/>
      <c r="O101" s="29" t="s">
        <v>133</v>
      </c>
      <c r="P101" s="12"/>
      <c r="Q101" s="12"/>
      <c r="R101" s="12"/>
      <c r="S101" s="12"/>
      <c r="T101" s="32"/>
      <c r="U101" s="32"/>
      <c r="V101" s="32"/>
      <c r="W101" s="32"/>
      <c r="X101" s="32"/>
      <c r="Y101" s="33"/>
      <c r="Z101" s="32"/>
      <c r="AA101" s="32"/>
      <c r="AB101" s="32"/>
      <c r="AC101" s="32"/>
      <c r="AD101" s="32"/>
      <c r="AE101" s="32"/>
      <c r="AF101" s="32"/>
      <c r="AG101" s="32"/>
      <c r="AH101" s="12"/>
      <c r="AI101" s="12"/>
      <c r="AJ101" s="12"/>
      <c r="AK101" s="12"/>
      <c r="AL101" s="12"/>
      <c r="AM101" s="12"/>
      <c r="AN101" s="12"/>
    </row>
    <row r="102" spans="1:40" ht="18.75">
      <c r="A102" s="12">
        <v>21</v>
      </c>
      <c r="B102" s="123">
        <f>DATE(2017,9,17)</f>
        <v>42995</v>
      </c>
      <c r="C102" s="124">
        <f>DATE(2017,9,30)</f>
        <v>43008</v>
      </c>
      <c r="D102" s="123"/>
      <c r="E102" s="123"/>
      <c r="F102" s="124">
        <f>DATE(2018,1,1)</f>
        <v>43101</v>
      </c>
      <c r="G102" s="12">
        <v>4</v>
      </c>
      <c r="H102" s="12"/>
      <c r="I102" s="12"/>
      <c r="J102" s="12"/>
      <c r="K102" s="12"/>
      <c r="L102" s="12"/>
      <c r="M102" s="12"/>
      <c r="N102" s="12"/>
      <c r="O102" s="29" t="s">
        <v>134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3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8.75">
      <c r="A103" s="12">
        <v>22</v>
      </c>
      <c r="B103" s="123">
        <f>DATE(2017,10,1)</f>
        <v>43009</v>
      </c>
      <c r="C103" s="124">
        <f>DATE(2017,10,14)</f>
        <v>43022</v>
      </c>
      <c r="D103" s="123"/>
      <c r="E103" s="123"/>
      <c r="F103" s="124">
        <f>DATE(2018,1,2)</f>
        <v>43102</v>
      </c>
      <c r="G103" s="12">
        <v>3</v>
      </c>
      <c r="H103" s="12"/>
      <c r="I103" s="12"/>
      <c r="J103" s="12"/>
      <c r="K103" s="12"/>
      <c r="L103" s="12"/>
      <c r="M103" s="12"/>
      <c r="N103" s="12"/>
      <c r="O103" s="29" t="s">
        <v>135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3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8.75">
      <c r="A104" s="12">
        <v>23</v>
      </c>
      <c r="B104" s="123">
        <f>DATE(2017,10,15)</f>
        <v>43023</v>
      </c>
      <c r="C104" s="124">
        <f>DATE(2017,10,28)</f>
        <v>43036</v>
      </c>
      <c r="D104" s="123"/>
      <c r="E104" s="123"/>
      <c r="F104" s="124">
        <f>DATE(2018,1,15)</f>
        <v>43115</v>
      </c>
      <c r="G104" s="12">
        <v>2</v>
      </c>
      <c r="H104" s="12"/>
      <c r="I104" s="12"/>
      <c r="J104" s="12"/>
      <c r="K104" s="12"/>
      <c r="L104" s="12"/>
      <c r="M104" s="12"/>
      <c r="N104" s="12"/>
      <c r="O104" s="29" t="s">
        <v>136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3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18.75">
      <c r="A105" s="12">
        <v>24</v>
      </c>
      <c r="B105" s="123">
        <f>DATE(2017,10,29)</f>
        <v>43037</v>
      </c>
      <c r="C105" s="124">
        <f>DATE(2017,11,11)</f>
        <v>43050</v>
      </c>
      <c r="D105" s="123"/>
      <c r="E105" s="123"/>
      <c r="F105" s="124">
        <f>DATE(2018,3,16)</f>
        <v>43175</v>
      </c>
      <c r="G105" s="12">
        <v>1</v>
      </c>
      <c r="H105" s="12"/>
      <c r="I105" s="12"/>
      <c r="J105" s="12"/>
      <c r="K105" s="12"/>
      <c r="L105" s="12"/>
      <c r="M105" s="12"/>
      <c r="N105" s="12"/>
      <c r="O105" s="29" t="s">
        <v>137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3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8.75">
      <c r="A106" s="12">
        <v>25</v>
      </c>
      <c r="B106" s="123">
        <f>DATE(2017,11,12)</f>
        <v>43051</v>
      </c>
      <c r="C106" s="124">
        <f>DATE(2017,11,25)</f>
        <v>43064</v>
      </c>
      <c r="D106" s="12"/>
      <c r="E106" s="12"/>
      <c r="F106" s="124">
        <f>DATE(2018,5,28)</f>
        <v>43248</v>
      </c>
      <c r="G106" s="12">
        <v>0</v>
      </c>
      <c r="H106" s="12"/>
      <c r="I106" s="12"/>
      <c r="J106" s="12"/>
      <c r="K106" s="12"/>
      <c r="L106" s="12"/>
      <c r="M106" s="12"/>
      <c r="N106" s="12"/>
      <c r="O106" s="29" t="s">
        <v>138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3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8.75">
      <c r="A107" s="28">
        <v>26</v>
      </c>
      <c r="B107" s="123">
        <f>DATE(2017,11,26)</f>
        <v>43065</v>
      </c>
      <c r="C107" s="124">
        <f>DATE(2017,12,9)</f>
        <v>43078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29" t="s">
        <v>139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3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8.75">
      <c r="A108" s="28" t="s">
        <v>140</v>
      </c>
      <c r="B108" s="123">
        <f>DATE(2017,12,10)</f>
        <v>43079</v>
      </c>
      <c r="C108" s="124">
        <f>DATE(2017,12,23)</f>
        <v>43092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8.75">
      <c r="A109" s="28" t="s">
        <v>153</v>
      </c>
      <c r="B109" s="123">
        <f>DATE(2017,12,24)</f>
        <v>43093</v>
      </c>
      <c r="C109" s="124">
        <f>DATE(2018,1,6)</f>
        <v>43106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8.75">
      <c r="A110" s="28" t="s">
        <v>154</v>
      </c>
      <c r="B110" s="123">
        <f>DATE(2018,1,7)</f>
        <v>43107</v>
      </c>
      <c r="C110" s="124">
        <f>DATE(2018,1,20)</f>
        <v>43120</v>
      </c>
      <c r="D110" s="12"/>
      <c r="E110" s="12"/>
      <c r="F110" s="12">
        <v>0</v>
      </c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8.75">
      <c r="A111" s="28" t="s">
        <v>155</v>
      </c>
      <c r="B111" s="123">
        <f>DATE(2018,1,21)</f>
        <v>43121</v>
      </c>
      <c r="C111" s="124">
        <f>DATE(2018,2,3)</f>
        <v>43134</v>
      </c>
      <c r="D111" s="12"/>
      <c r="E111" s="12"/>
      <c r="F111" s="12">
        <v>1</v>
      </c>
      <c r="G111" s="12">
        <v>1</v>
      </c>
      <c r="H111" s="12"/>
      <c r="I111" s="12"/>
      <c r="J111" s="12"/>
      <c r="K111" s="29" t="s">
        <v>141</v>
      </c>
      <c r="L111" s="12"/>
      <c r="M111" s="12"/>
      <c r="N111" s="12"/>
      <c r="O111" s="29" t="s">
        <v>142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3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8.75">
      <c r="A112" s="28" t="s">
        <v>156</v>
      </c>
      <c r="B112" s="123">
        <f>DATE(2018,2,4)</f>
        <v>43135</v>
      </c>
      <c r="C112" s="124">
        <f>DATE(2018,2,17)</f>
        <v>43148</v>
      </c>
      <c r="D112" s="12"/>
      <c r="E112" s="12"/>
      <c r="F112" s="12">
        <v>2</v>
      </c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8.75">
      <c r="A113" s="28" t="s">
        <v>157</v>
      </c>
      <c r="B113" s="123">
        <f>DATE(2018,2,18)</f>
        <v>43149</v>
      </c>
      <c r="C113" s="124">
        <f>DATE(2018,3,3)</f>
        <v>43162</v>
      </c>
      <c r="D113" s="12"/>
      <c r="E113" s="12"/>
      <c r="F113" s="12">
        <v>3</v>
      </c>
      <c r="G113" s="12">
        <v>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8.75">
      <c r="A114" s="28" t="s">
        <v>158</v>
      </c>
      <c r="B114" s="123">
        <f>DATE(2018,3,4)</f>
        <v>43163</v>
      </c>
      <c r="C114" s="124">
        <f>DATE(2018,3,17)</f>
        <v>43176</v>
      </c>
      <c r="D114" s="12"/>
      <c r="E114" s="12"/>
      <c r="F114" s="12">
        <v>4</v>
      </c>
      <c r="G114" s="12">
        <v>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8.75">
      <c r="A115" s="28" t="s">
        <v>159</v>
      </c>
      <c r="B115" s="123">
        <f>DATE(2018,3,18)</f>
        <v>43177</v>
      </c>
      <c r="C115" s="124">
        <f>DATE(2018,3,31)</f>
        <v>43190</v>
      </c>
      <c r="D115" s="12"/>
      <c r="E115" s="12"/>
      <c r="F115" s="12">
        <v>5</v>
      </c>
      <c r="G115" s="12">
        <v>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8.75">
      <c r="A116" s="28" t="s">
        <v>160</v>
      </c>
      <c r="B116" s="123">
        <f>DATE(2018,4,1)</f>
        <v>43191</v>
      </c>
      <c r="C116" s="124">
        <f>DATE(2018,4,14)</f>
        <v>43204</v>
      </c>
      <c r="D116" s="12"/>
      <c r="E116" s="12"/>
      <c r="F116" s="12">
        <v>6</v>
      </c>
      <c r="G116" s="12">
        <v>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8.75">
      <c r="A117" s="28" t="s">
        <v>161</v>
      </c>
      <c r="B117" s="123">
        <f>DATE(2018,4,15)</f>
        <v>43205</v>
      </c>
      <c r="C117" s="124">
        <f>DATE(2018,4,28)</f>
        <v>43218</v>
      </c>
      <c r="D117" s="12"/>
      <c r="E117" s="12"/>
      <c r="F117" s="12">
        <v>7</v>
      </c>
      <c r="G117" s="12">
        <v>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8.75">
      <c r="A118" s="28" t="s">
        <v>162</v>
      </c>
      <c r="B118" s="123">
        <f>DATE(2018,4,29)</f>
        <v>43219</v>
      </c>
      <c r="C118" s="124">
        <f>DATE(2018,5,12)</f>
        <v>43232</v>
      </c>
      <c r="D118" s="12"/>
      <c r="E118" s="12"/>
      <c r="F118" s="12">
        <v>8</v>
      </c>
      <c r="G118" s="12"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8.75">
      <c r="A119" s="28" t="s">
        <v>163</v>
      </c>
      <c r="B119" s="123">
        <f>DATE(2018,5,13)</f>
        <v>43233</v>
      </c>
      <c r="C119" s="124">
        <f>DATE(2018,5,26)</f>
        <v>43246</v>
      </c>
      <c r="D119" s="12"/>
      <c r="E119" s="12"/>
      <c r="F119" s="12">
        <v>9</v>
      </c>
      <c r="G119" s="12">
        <v>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8.75">
      <c r="A120" s="28" t="s">
        <v>164</v>
      </c>
      <c r="B120" s="123">
        <f>DATE(2018,5,27)</f>
        <v>43247</v>
      </c>
      <c r="C120" s="124">
        <f>DATE(2018,6,9)</f>
        <v>43260</v>
      </c>
      <c r="D120" s="12"/>
      <c r="E120" s="12"/>
      <c r="F120" s="12">
        <v>11</v>
      </c>
      <c r="G120" s="12"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8.75">
      <c r="A121" s="28" t="s">
        <v>165</v>
      </c>
      <c r="B121" s="123">
        <f>DATE(2018,6,10)</f>
        <v>43261</v>
      </c>
      <c r="C121" s="124">
        <f>DATE(2018,6,23)</f>
        <v>43274</v>
      </c>
      <c r="D121" s="12"/>
      <c r="E121" s="12"/>
      <c r="F121" s="12">
        <v>12</v>
      </c>
      <c r="G121" s="12">
        <v>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8.75">
      <c r="A122" s="28" t="s">
        <v>166</v>
      </c>
      <c r="B122" s="123">
        <f>DATE(2018,6,24)</f>
        <v>43275</v>
      </c>
      <c r="C122" s="124">
        <f>DATE(2018,6,30)</f>
        <v>43281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32"/>
      <c r="U122" s="32"/>
      <c r="V122" s="32"/>
      <c r="W122" s="32"/>
      <c r="X122" s="32">
        <f>SUM(W74:AI121)</f>
        <v>0</v>
      </c>
      <c r="Y122" s="33">
        <f>SUM(X74:AJ121)</f>
        <v>0</v>
      </c>
      <c r="Z122" s="32">
        <f>SUM(Y74:AK121)</f>
        <v>0</v>
      </c>
      <c r="AA122" s="32">
        <f>SUM(Z74:AL121)</f>
        <v>0</v>
      </c>
      <c r="AB122" s="32" t="e">
        <f aca="true" t="shared" si="23" ref="AB122:AG122">SUM(#VALUE!)</f>
        <v>#VALUE!</v>
      </c>
      <c r="AC122" s="32" t="e">
        <f t="shared" si="23"/>
        <v>#VALUE!</v>
      </c>
      <c r="AD122" s="32" t="e">
        <f t="shared" si="23"/>
        <v>#VALUE!</v>
      </c>
      <c r="AE122" s="32" t="e">
        <f t="shared" si="23"/>
        <v>#VALUE!</v>
      </c>
      <c r="AF122" s="32" t="e">
        <f t="shared" si="23"/>
        <v>#VALUE!</v>
      </c>
      <c r="AG122" s="32" t="e">
        <f t="shared" si="23"/>
        <v>#VALUE!</v>
      </c>
      <c r="AH122" s="12"/>
      <c r="AI122" s="12"/>
      <c r="AJ122" s="12"/>
      <c r="AK122" s="12"/>
      <c r="AL122" s="12"/>
      <c r="AM122" s="12"/>
      <c r="AN122" s="12"/>
    </row>
    <row r="123" spans="1:40" ht="18.75">
      <c r="A123" s="12"/>
      <c r="B123" s="12"/>
      <c r="C123" s="3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32"/>
      <c r="U123" s="32"/>
      <c r="V123" s="32"/>
      <c r="W123" s="32"/>
      <c r="X123" s="12"/>
      <c r="Y123" s="3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8.75">
      <c r="A124" s="12"/>
      <c r="B124" s="12"/>
      <c r="C124" s="3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8.75">
      <c r="A125" s="12"/>
      <c r="B125" s="12"/>
      <c r="C125" s="3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8.75">
      <c r="A126" s="12"/>
      <c r="B126" s="12"/>
      <c r="C126" s="3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8.75">
      <c r="A127" s="12"/>
      <c r="B127" s="12"/>
      <c r="C127" s="3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8.75">
      <c r="A128" s="12"/>
      <c r="B128" s="12"/>
      <c r="C128" s="3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</sheetData>
  <sheetProtection/>
  <mergeCells count="2">
    <mergeCell ref="G19:H19"/>
    <mergeCell ref="G20:H20"/>
  </mergeCells>
  <printOptions horizontalCentered="1" verticalCentered="1"/>
  <pageMargins left="0" right="0" top="1" bottom="1" header="0.5" footer="0.5"/>
  <pageSetup orientation="landscape" paperSize="5" scale="75" r:id="rId1"/>
  <headerFooter alignWithMargins="0">
    <oddHeader xml:space="preserve">&amp;C&amp;"Arial,Bold"&amp;12&amp;K000000Department Name 
FY18 Payroll 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2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10" ht="12.75">
      <c r="B1" s="1"/>
      <c r="C1" s="1"/>
      <c r="D1" s="1"/>
      <c r="E1" s="1"/>
      <c r="F1" s="1"/>
      <c r="G1" s="1" t="s">
        <v>174</v>
      </c>
      <c r="H1" s="1" t="s">
        <v>175</v>
      </c>
      <c r="I1" s="1"/>
      <c r="J1" s="127"/>
    </row>
    <row r="2" spans="2:10" ht="12.75">
      <c r="B2" s="126" t="s">
        <v>167</v>
      </c>
      <c r="C2" s="126" t="s">
        <v>168</v>
      </c>
      <c r="D2" s="126" t="s">
        <v>169</v>
      </c>
      <c r="E2" s="126" t="s">
        <v>170</v>
      </c>
      <c r="F2" s="126" t="s">
        <v>171</v>
      </c>
      <c r="G2" s="126" t="s">
        <v>6</v>
      </c>
      <c r="H2" s="126" t="s">
        <v>172</v>
      </c>
      <c r="I2" s="126" t="s">
        <v>173</v>
      </c>
      <c r="J2" s="130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I2"/>
  <sheetViews>
    <sheetView zoomScalePageLayoutView="0" workbookViewId="0" topLeftCell="A1">
      <selection activeCell="B1" sqref="B1:I2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9" ht="12.75">
      <c r="B1" s="1"/>
      <c r="C1" s="1"/>
      <c r="D1" s="1"/>
      <c r="E1" s="1"/>
      <c r="F1" s="1"/>
      <c r="G1" s="1" t="s">
        <v>174</v>
      </c>
      <c r="H1" s="1" t="s">
        <v>175</v>
      </c>
      <c r="I1" s="128"/>
    </row>
    <row r="2" spans="2:9" ht="12.75">
      <c r="B2" s="126" t="s">
        <v>167</v>
      </c>
      <c r="C2" s="126" t="s">
        <v>168</v>
      </c>
      <c r="D2" s="126" t="s">
        <v>169</v>
      </c>
      <c r="E2" s="126" t="s">
        <v>170</v>
      </c>
      <c r="F2" s="126" t="s">
        <v>171</v>
      </c>
      <c r="G2" s="126" t="s">
        <v>6</v>
      </c>
      <c r="H2" s="126" t="s">
        <v>13</v>
      </c>
      <c r="I2" s="129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Dev. &amp; Maint Offc - UA 1</dc:creator>
  <cp:keywords/>
  <dc:description/>
  <cp:lastModifiedBy>Sara R Braniff</cp:lastModifiedBy>
  <cp:lastPrinted>2013-05-13T17:53:24Z</cp:lastPrinted>
  <dcterms:created xsi:type="dcterms:W3CDTF">1997-03-25T00:35:57Z</dcterms:created>
  <dcterms:modified xsi:type="dcterms:W3CDTF">2017-07-14T19:09:54Z</dcterms:modified>
  <cp:category/>
  <cp:version/>
  <cp:contentType/>
  <cp:contentStatus/>
</cp:coreProperties>
</file>